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D123\STRES TEST\Metodologija\Objavljeno 12.3.2018\web\"/>
    </mc:Choice>
  </mc:AlternateContent>
  <workbookProtection workbookPassword="F54F" lockStructure="1"/>
  <bookViews>
    <workbookView xWindow="240" yWindow="210" windowWidth="20115" windowHeight="7305" tabRatio="919"/>
  </bookViews>
  <sheets>
    <sheet name="Notes and instructions" sheetId="4" r:id="rId1"/>
    <sheet name="CR Path Generator" sheetId="1" r:id="rId2"/>
    <sheet name="Sovereign" sheetId="16" r:id="rId3"/>
    <sheet name="Segment model mapping" sheetId="19" r:id="rId4"/>
    <sheet name="Processor PDs" sheetId="8" state="hidden" r:id="rId5"/>
    <sheet name="Processor TPs" sheetId="15" state="hidden" r:id="rId6"/>
    <sheet name="Processor LGD1-3" sheetId="9" state="hidden" r:id="rId7"/>
    <sheet name="Processor LGD2-3" sheetId="13" state="hidden" r:id="rId8"/>
    <sheet name="Processor LGD3-3" sheetId="14" state="hidden" r:id="rId9"/>
    <sheet name="Processor LT base" sheetId="11" state="hidden" r:id="rId10"/>
    <sheet name="Processor LT adverse" sheetId="12" state="hidden" r:id="rId11"/>
    <sheet name="Processor LT base (sov)" sheetId="17" state="hidden" r:id="rId12"/>
    <sheet name="Processor LT adverse (sov)" sheetId="18" state="hidden" r:id="rId13"/>
    <sheet name="Processor LT base S12" sheetId="20" state="hidden" r:id="rId14"/>
    <sheet name="Processor LT adverse S12" sheetId="21" state="hidden" r:id="rId15"/>
    <sheet name="Processor LT base (sov) S12" sheetId="22" state="hidden" r:id="rId16"/>
    <sheet name="Processor LT adverse (sov) S12" sheetId="23" state="hidden" r:id="rId17"/>
    <sheet name="Lists" sheetId="7" state="hidden" r:id="rId18"/>
  </sheets>
  <calcPr calcId="152511"/>
</workbook>
</file>

<file path=xl/calcChain.xml><?xml version="1.0" encoding="utf-8"?>
<calcChain xmlns="http://schemas.openxmlformats.org/spreadsheetml/2006/main">
  <c r="J4" i="23" l="1"/>
  <c r="H12" i="23" s="1"/>
  <c r="J3" i="23"/>
  <c r="J2" i="23"/>
  <c r="J4" i="22"/>
  <c r="H19" i="23" s="1"/>
  <c r="W19" i="23" s="1"/>
  <c r="J3" i="22"/>
  <c r="H11" i="22" s="1"/>
  <c r="J2" i="22"/>
  <c r="H10" i="22" s="1"/>
  <c r="W10" i="22" s="1"/>
  <c r="M11" i="22" s="1"/>
  <c r="D2" i="23"/>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D2" i="22"/>
  <c r="G13" i="22" s="1"/>
  <c r="G14" i="22" s="1"/>
  <c r="G15" i="22" s="1"/>
  <c r="G16" i="22" s="1"/>
  <c r="G17" i="22" s="1"/>
  <c r="G18" i="22" s="1"/>
  <c r="G19" i="22" s="1"/>
  <c r="G20" i="22" s="1"/>
  <c r="G21" i="22" s="1"/>
  <c r="G22" i="22" s="1"/>
  <c r="G23" i="22" s="1"/>
  <c r="G24" i="22" s="1"/>
  <c r="G25" i="22" s="1"/>
  <c r="G26" i="22" s="1"/>
  <c r="G27" i="22" s="1"/>
  <c r="G28" i="22" s="1"/>
  <c r="G29" i="22" s="1"/>
  <c r="G30" i="22" s="1"/>
  <c r="G31" i="22" s="1"/>
  <c r="G32" i="22" s="1"/>
  <c r="G33" i="22" s="1"/>
  <c r="G34" i="22" s="1"/>
  <c r="G35" i="22" s="1"/>
  <c r="G36" i="22" s="1"/>
  <c r="G37" i="22" s="1"/>
  <c r="G38" i="22" s="1"/>
  <c r="G39" i="22" s="1"/>
  <c r="G40" i="22" s="1"/>
  <c r="G41" i="22" s="1"/>
  <c r="G42" i="22" s="1"/>
  <c r="G43" i="22" s="1"/>
  <c r="G44" i="22" s="1"/>
  <c r="G45" i="22" s="1"/>
  <c r="G46" i="22" s="1"/>
  <c r="G47" i="22" s="1"/>
  <c r="G48" i="22" s="1"/>
  <c r="G49" i="22" s="1"/>
  <c r="G50" i="22" s="1"/>
  <c r="G51" i="22" s="1"/>
  <c r="G52" i="22" s="1"/>
  <c r="G53" i="22" s="1"/>
  <c r="G54" i="22" s="1"/>
  <c r="G55" i="22" s="1"/>
  <c r="G56" i="22" s="1"/>
  <c r="G57" i="22" s="1"/>
  <c r="G58" i="22" s="1"/>
  <c r="G59" i="22" s="1"/>
  <c r="G60" i="22" s="1"/>
  <c r="G61" i="22" s="1"/>
  <c r="D2" i="21"/>
  <c r="G13" i="21" s="1"/>
  <c r="G14" i="21" s="1"/>
  <c r="G15" i="21" s="1"/>
  <c r="G16" i="21" s="1"/>
  <c r="G17" i="21" s="1"/>
  <c r="G18" i="21" s="1"/>
  <c r="G19" i="21" s="1"/>
  <c r="G20" i="21" s="1"/>
  <c r="G21" i="21" s="1"/>
  <c r="G22" i="21" s="1"/>
  <c r="G23" i="21" s="1"/>
  <c r="G24" i="21" s="1"/>
  <c r="G25" i="21" s="1"/>
  <c r="G26" i="21" s="1"/>
  <c r="G27" i="21" s="1"/>
  <c r="G28" i="21" s="1"/>
  <c r="G29" i="21" s="1"/>
  <c r="G30" i="21" s="1"/>
  <c r="G31" i="21" s="1"/>
  <c r="G32" i="21" s="1"/>
  <c r="G33" i="21" s="1"/>
  <c r="G34" i="21" s="1"/>
  <c r="G35" i="21" s="1"/>
  <c r="G36" i="21" s="1"/>
  <c r="G37" i="21" s="1"/>
  <c r="G38" i="21" s="1"/>
  <c r="G39" i="21" s="1"/>
  <c r="G40" i="21" s="1"/>
  <c r="G41" i="21" s="1"/>
  <c r="G42" i="21" s="1"/>
  <c r="G43" i="21" s="1"/>
  <c r="G44" i="21" s="1"/>
  <c r="G45" i="21" s="1"/>
  <c r="G46" i="21" s="1"/>
  <c r="G47" i="21" s="1"/>
  <c r="G48" i="21" s="1"/>
  <c r="G49" i="21" s="1"/>
  <c r="G50" i="21" s="1"/>
  <c r="G51" i="21" s="1"/>
  <c r="G52" i="21" s="1"/>
  <c r="G53" i="21" s="1"/>
  <c r="G54" i="21" s="1"/>
  <c r="G55" i="21" s="1"/>
  <c r="G56" i="21" s="1"/>
  <c r="G57" i="21" s="1"/>
  <c r="G58" i="21" s="1"/>
  <c r="G59" i="21" s="1"/>
  <c r="G60" i="21" s="1"/>
  <c r="G61" i="21" s="1"/>
  <c r="D2" i="20"/>
  <c r="I19" i="23"/>
  <c r="I12" i="23"/>
  <c r="L12" i="23" s="1"/>
  <c r="E12" i="23"/>
  <c r="I11" i="23"/>
  <c r="K11" i="23" s="1"/>
  <c r="I10" i="23"/>
  <c r="J10" i="23" s="1"/>
  <c r="H11" i="23"/>
  <c r="H10" i="23"/>
  <c r="I12" i="22"/>
  <c r="I13" i="22" s="1"/>
  <c r="I11" i="22"/>
  <c r="K11" i="22" s="1"/>
  <c r="I10" i="22"/>
  <c r="J10" i="22" s="1"/>
  <c r="F12" i="21"/>
  <c r="E11" i="21"/>
  <c r="Q11" i="22" l="1"/>
  <c r="T11" i="22" s="1"/>
  <c r="F13" i="23"/>
  <c r="F14" i="23" s="1"/>
  <c r="F15" i="23" s="1"/>
  <c r="F16" i="23" s="1"/>
  <c r="F17" i="23" s="1"/>
  <c r="F18" i="23" s="1"/>
  <c r="F19" i="23" s="1"/>
  <c r="F20" i="23" s="1"/>
  <c r="F21" i="23" s="1"/>
  <c r="F22" i="23" s="1"/>
  <c r="F23" i="23" s="1"/>
  <c r="F24" i="23" s="1"/>
  <c r="F25" i="23" s="1"/>
  <c r="F26" i="23" s="1"/>
  <c r="F27" i="23" s="1"/>
  <c r="F28" i="23" s="1"/>
  <c r="F29" i="23" s="1"/>
  <c r="F30" i="23" s="1"/>
  <c r="F31" i="23" s="1"/>
  <c r="F32" i="23" s="1"/>
  <c r="F33" i="23" s="1"/>
  <c r="F34" i="23" s="1"/>
  <c r="F35" i="23" s="1"/>
  <c r="F36" i="23" s="1"/>
  <c r="F37" i="23" s="1"/>
  <c r="F38" i="23" s="1"/>
  <c r="F39" i="23" s="1"/>
  <c r="F40" i="23" s="1"/>
  <c r="F41" i="23" s="1"/>
  <c r="F42" i="23" s="1"/>
  <c r="F43" i="23" s="1"/>
  <c r="F44" i="23" s="1"/>
  <c r="F45" i="23" s="1"/>
  <c r="F46" i="23" s="1"/>
  <c r="F47" i="23" s="1"/>
  <c r="F48" i="23" s="1"/>
  <c r="F49" i="23" s="1"/>
  <c r="F50" i="23" s="1"/>
  <c r="F51" i="23" s="1"/>
  <c r="F52" i="23" s="1"/>
  <c r="F53" i="23" s="1"/>
  <c r="F54" i="23" s="1"/>
  <c r="F55" i="23" s="1"/>
  <c r="F56" i="23" s="1"/>
  <c r="F57" i="23" s="1"/>
  <c r="F58" i="23" s="1"/>
  <c r="F59" i="23" s="1"/>
  <c r="F60" i="23" s="1"/>
  <c r="F61" i="23" s="1"/>
  <c r="F12" i="23"/>
  <c r="F13" i="21"/>
  <c r="F14" i="21" s="1"/>
  <c r="F15" i="21" s="1"/>
  <c r="F16" i="21" s="1"/>
  <c r="F17" i="21" s="1"/>
  <c r="F18" i="21" s="1"/>
  <c r="F19" i="21" s="1"/>
  <c r="F20" i="21" s="1"/>
  <c r="F21" i="21" s="1"/>
  <c r="F22" i="21" s="1"/>
  <c r="F23" i="21" s="1"/>
  <c r="F24" i="21" s="1"/>
  <c r="F25" i="21" s="1"/>
  <c r="F26" i="21" s="1"/>
  <c r="F27" i="21" s="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58" i="21" s="1"/>
  <c r="F59" i="21" s="1"/>
  <c r="F60" i="21" s="1"/>
  <c r="F61" i="21" s="1"/>
  <c r="E13" i="21"/>
  <c r="E14" i="21" s="1"/>
  <c r="E15" i="21" s="1"/>
  <c r="E16" i="21" s="1"/>
  <c r="E17" i="21" s="1"/>
  <c r="E18" i="21" s="1"/>
  <c r="E19" i="21" s="1"/>
  <c r="E20" i="21" s="1"/>
  <c r="E21" i="21" s="1"/>
  <c r="E22" i="21" s="1"/>
  <c r="E23" i="21" s="1"/>
  <c r="E24" i="21" s="1"/>
  <c r="E25" i="21" s="1"/>
  <c r="E26" i="21" s="1"/>
  <c r="E27" i="21" s="1"/>
  <c r="E28" i="21" s="1"/>
  <c r="E29" i="21" s="1"/>
  <c r="E30" i="21" s="1"/>
  <c r="E31" i="21" s="1"/>
  <c r="E32" i="21" s="1"/>
  <c r="E33" i="21" s="1"/>
  <c r="E34" i="21" s="1"/>
  <c r="E35" i="21" s="1"/>
  <c r="E36" i="21" s="1"/>
  <c r="E37" i="21" s="1"/>
  <c r="E38" i="21" s="1"/>
  <c r="E39" i="21" s="1"/>
  <c r="E40" i="21" s="1"/>
  <c r="E41" i="21" s="1"/>
  <c r="E42" i="21" s="1"/>
  <c r="E43" i="21" s="1"/>
  <c r="E44" i="21" s="1"/>
  <c r="E45" i="21" s="1"/>
  <c r="E46" i="21" s="1"/>
  <c r="E47" i="21" s="1"/>
  <c r="E48" i="21" s="1"/>
  <c r="E49" i="21" s="1"/>
  <c r="E50" i="21" s="1"/>
  <c r="E51" i="21" s="1"/>
  <c r="E52" i="21" s="1"/>
  <c r="E53" i="21" s="1"/>
  <c r="E54" i="21" s="1"/>
  <c r="E55" i="21" s="1"/>
  <c r="E56" i="21" s="1"/>
  <c r="E57" i="21" s="1"/>
  <c r="E58" i="21" s="1"/>
  <c r="E59" i="21" s="1"/>
  <c r="E60" i="21" s="1"/>
  <c r="E61" i="21" s="1"/>
  <c r="E12" i="22"/>
  <c r="E11" i="22"/>
  <c r="F13" i="22"/>
  <c r="F14" i="22" s="1"/>
  <c r="F15" i="22" s="1"/>
  <c r="F16" i="22" s="1"/>
  <c r="F17" i="22" s="1"/>
  <c r="F18" i="22" s="1"/>
  <c r="F19" i="22" s="1"/>
  <c r="F20" i="22" s="1"/>
  <c r="F21" i="22" s="1"/>
  <c r="F22" i="22" s="1"/>
  <c r="F23" i="22" s="1"/>
  <c r="F24" i="22" s="1"/>
  <c r="F25" i="22" s="1"/>
  <c r="F26" i="22" s="1"/>
  <c r="F27" i="22" s="1"/>
  <c r="F28" i="22" s="1"/>
  <c r="F29" i="22" s="1"/>
  <c r="F30" i="22" s="1"/>
  <c r="F31" i="22" s="1"/>
  <c r="F32" i="22" s="1"/>
  <c r="F33" i="22" s="1"/>
  <c r="F34" i="22" s="1"/>
  <c r="F35" i="22" s="1"/>
  <c r="F36" i="22" s="1"/>
  <c r="F37" i="22" s="1"/>
  <c r="F38" i="22" s="1"/>
  <c r="F39" i="22" s="1"/>
  <c r="F40" i="22" s="1"/>
  <c r="F41" i="22" s="1"/>
  <c r="F42" i="22" s="1"/>
  <c r="F43" i="22" s="1"/>
  <c r="F44" i="22" s="1"/>
  <c r="F45" i="22" s="1"/>
  <c r="F46" i="22" s="1"/>
  <c r="F47" i="22" s="1"/>
  <c r="F48" i="22" s="1"/>
  <c r="F49" i="22" s="1"/>
  <c r="F50" i="22" s="1"/>
  <c r="F51" i="22" s="1"/>
  <c r="F52" i="22" s="1"/>
  <c r="F53" i="22" s="1"/>
  <c r="F54" i="22" s="1"/>
  <c r="F55" i="22" s="1"/>
  <c r="F56" i="22" s="1"/>
  <c r="F57" i="22" s="1"/>
  <c r="F58" i="22" s="1"/>
  <c r="F59" i="22" s="1"/>
  <c r="F60" i="22" s="1"/>
  <c r="F61" i="22" s="1"/>
  <c r="G13" i="23"/>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53" i="23" s="1"/>
  <c r="G54" i="23" s="1"/>
  <c r="G55" i="23" s="1"/>
  <c r="G56" i="23" s="1"/>
  <c r="G57" i="23" s="1"/>
  <c r="G58" i="23" s="1"/>
  <c r="G59" i="23" s="1"/>
  <c r="G60" i="23" s="1"/>
  <c r="G61" i="23" s="1"/>
  <c r="E11" i="23"/>
  <c r="J11" i="23" s="1"/>
  <c r="E13" i="22"/>
  <c r="E14" i="22" s="1"/>
  <c r="E15" i="22" s="1"/>
  <c r="E16" i="22" s="1"/>
  <c r="E17" i="22" s="1"/>
  <c r="E18" i="22" s="1"/>
  <c r="E19" i="22" s="1"/>
  <c r="E20" i="22" s="1"/>
  <c r="E21" i="22" s="1"/>
  <c r="E22" i="22" s="1"/>
  <c r="E23" i="22" s="1"/>
  <c r="E24" i="22" s="1"/>
  <c r="E25" i="22" s="1"/>
  <c r="E26" i="22" s="1"/>
  <c r="E27" i="22" s="1"/>
  <c r="E28" i="22" s="1"/>
  <c r="E29" i="22" s="1"/>
  <c r="E30" i="22" s="1"/>
  <c r="E31" i="22" s="1"/>
  <c r="E32" i="22" s="1"/>
  <c r="E33" i="22" s="1"/>
  <c r="E34" i="22" s="1"/>
  <c r="E35" i="22" s="1"/>
  <c r="E36" i="22" s="1"/>
  <c r="E37" i="22" s="1"/>
  <c r="E38" i="22" s="1"/>
  <c r="E39" i="22" s="1"/>
  <c r="E40" i="22" s="1"/>
  <c r="E41" i="22" s="1"/>
  <c r="E42" i="22" s="1"/>
  <c r="E43" i="22" s="1"/>
  <c r="E44" i="22" s="1"/>
  <c r="E45" i="22" s="1"/>
  <c r="E46" i="22" s="1"/>
  <c r="E47" i="22" s="1"/>
  <c r="E48" i="22" s="1"/>
  <c r="E49" i="22" s="1"/>
  <c r="E50" i="22" s="1"/>
  <c r="E51" i="22" s="1"/>
  <c r="E52" i="22" s="1"/>
  <c r="E53" i="22" s="1"/>
  <c r="E54" i="22" s="1"/>
  <c r="E55" i="22" s="1"/>
  <c r="E56" i="22" s="1"/>
  <c r="E57" i="22" s="1"/>
  <c r="E58" i="22" s="1"/>
  <c r="E59" i="22" s="1"/>
  <c r="E60" i="22" s="1"/>
  <c r="E61" i="22" s="1"/>
  <c r="F12" i="22"/>
  <c r="I13" i="23"/>
  <c r="P10" i="23"/>
  <c r="S10" i="23" s="1"/>
  <c r="J12" i="23"/>
  <c r="K12" i="23"/>
  <c r="L12" i="22"/>
  <c r="J12" i="22"/>
  <c r="J11" i="22"/>
  <c r="P11" i="22" s="1"/>
  <c r="S11" i="22" s="1"/>
  <c r="K12" i="22"/>
  <c r="F12" i="20"/>
  <c r="E11" i="20"/>
  <c r="G13" i="20"/>
  <c r="G14" i="20" s="1"/>
  <c r="G15" i="20" s="1"/>
  <c r="G16" i="20" s="1"/>
  <c r="G17" i="20" s="1"/>
  <c r="G18" i="20" s="1"/>
  <c r="G19" i="20" s="1"/>
  <c r="G20" i="20" s="1"/>
  <c r="G21" i="20" s="1"/>
  <c r="G22" i="20" s="1"/>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G49" i="20" s="1"/>
  <c r="G50" i="20" s="1"/>
  <c r="G51" i="20" s="1"/>
  <c r="G52" i="20" s="1"/>
  <c r="G53" i="20" s="1"/>
  <c r="G54" i="20" s="1"/>
  <c r="G55" i="20" s="1"/>
  <c r="G56" i="20" s="1"/>
  <c r="G57" i="20" s="1"/>
  <c r="G58" i="20" s="1"/>
  <c r="G59" i="20" s="1"/>
  <c r="G60" i="20" s="1"/>
  <c r="G61" i="20" s="1"/>
  <c r="F13" i="20"/>
  <c r="F14" i="20" s="1"/>
  <c r="F15" i="20" s="1"/>
  <c r="F16" i="20" s="1"/>
  <c r="F17" i="20" s="1"/>
  <c r="F18" i="20" s="1"/>
  <c r="F19" i="20" s="1"/>
  <c r="F20" i="20" s="1"/>
  <c r="F21" i="20" s="1"/>
  <c r="F22" i="20" s="1"/>
  <c r="F23" i="20" s="1"/>
  <c r="F24" i="20" s="1"/>
  <c r="F25" i="20" s="1"/>
  <c r="F26" i="20" s="1"/>
  <c r="F27" i="20" s="1"/>
  <c r="F28" i="20" s="1"/>
  <c r="F29" i="20" s="1"/>
  <c r="F30" i="20" s="1"/>
  <c r="F31" i="20" s="1"/>
  <c r="F32" i="20" s="1"/>
  <c r="F33" i="20" s="1"/>
  <c r="F34" i="20" s="1"/>
  <c r="F35" i="20" s="1"/>
  <c r="F36" i="20" s="1"/>
  <c r="F37" i="20" s="1"/>
  <c r="F38" i="20" s="1"/>
  <c r="F39" i="20" s="1"/>
  <c r="F40" i="20" s="1"/>
  <c r="F41" i="20" s="1"/>
  <c r="F42" i="20" s="1"/>
  <c r="F43" i="20" s="1"/>
  <c r="F44" i="20" s="1"/>
  <c r="F45" i="20" s="1"/>
  <c r="F46" i="20" s="1"/>
  <c r="F47" i="20" s="1"/>
  <c r="F48" i="20" s="1"/>
  <c r="F49" i="20" s="1"/>
  <c r="F50" i="20" s="1"/>
  <c r="F51" i="20" s="1"/>
  <c r="F52" i="20" s="1"/>
  <c r="F53" i="20" s="1"/>
  <c r="F54" i="20" s="1"/>
  <c r="F55" i="20" s="1"/>
  <c r="F56" i="20" s="1"/>
  <c r="F57" i="20" s="1"/>
  <c r="F58" i="20" s="1"/>
  <c r="F59" i="20" s="1"/>
  <c r="F60" i="20" s="1"/>
  <c r="F61" i="20" s="1"/>
  <c r="E12" i="20"/>
  <c r="E13" i="20"/>
  <c r="E14" i="20" s="1"/>
  <c r="E15" i="20" s="1"/>
  <c r="E16" i="20" s="1"/>
  <c r="E17" i="20" s="1"/>
  <c r="E18" i="20" s="1"/>
  <c r="E19" i="20" s="1"/>
  <c r="E20" i="20" s="1"/>
  <c r="E21" i="20" s="1"/>
  <c r="E22" i="20" s="1"/>
  <c r="E23" i="20" s="1"/>
  <c r="E24" i="20" s="1"/>
  <c r="E25" i="20" s="1"/>
  <c r="E26" i="20" s="1"/>
  <c r="E27" i="20" s="1"/>
  <c r="E28" i="20" s="1"/>
  <c r="E29" i="20" s="1"/>
  <c r="E30" i="20" s="1"/>
  <c r="E31" i="20" s="1"/>
  <c r="E32" i="20" s="1"/>
  <c r="E33" i="20" s="1"/>
  <c r="E34" i="20" s="1"/>
  <c r="E35" i="20" s="1"/>
  <c r="E36" i="20" s="1"/>
  <c r="E37" i="20" s="1"/>
  <c r="E38" i="20" s="1"/>
  <c r="E39" i="20" s="1"/>
  <c r="E40" i="20" s="1"/>
  <c r="E41" i="20" s="1"/>
  <c r="E42" i="20" s="1"/>
  <c r="E43" i="20" s="1"/>
  <c r="E44" i="20" s="1"/>
  <c r="E45" i="20" s="1"/>
  <c r="E46" i="20" s="1"/>
  <c r="E47" i="20" s="1"/>
  <c r="E48" i="20" s="1"/>
  <c r="E49" i="20" s="1"/>
  <c r="E50" i="20" s="1"/>
  <c r="E51" i="20" s="1"/>
  <c r="E52" i="20" s="1"/>
  <c r="E53" i="20" s="1"/>
  <c r="E54" i="20" s="1"/>
  <c r="E55" i="20" s="1"/>
  <c r="E56" i="20" s="1"/>
  <c r="E57" i="20" s="1"/>
  <c r="E58" i="20" s="1"/>
  <c r="E59" i="20" s="1"/>
  <c r="E60" i="20" s="1"/>
  <c r="E61" i="20" s="1"/>
  <c r="L13" i="22"/>
  <c r="I14" i="22"/>
  <c r="K13" i="22"/>
  <c r="W11" i="22"/>
  <c r="N12" i="22" s="1"/>
  <c r="K13" i="23"/>
  <c r="J13" i="23"/>
  <c r="E12" i="21"/>
  <c r="P10" i="22"/>
  <c r="S10" i="22" s="1"/>
  <c r="H13" i="23"/>
  <c r="H14" i="23" s="1"/>
  <c r="H15" i="23" s="1"/>
  <c r="H16" i="23" s="1"/>
  <c r="H20" i="23"/>
  <c r="H12" i="22"/>
  <c r="W11" i="23"/>
  <c r="N12" i="23" s="1"/>
  <c r="W10" i="23"/>
  <c r="M11" i="23" s="1"/>
  <c r="Q11" i="23"/>
  <c r="T11" i="23" s="1"/>
  <c r="W12" i="23"/>
  <c r="O13" i="23" s="1"/>
  <c r="R12" i="23"/>
  <c r="U12" i="23" s="1"/>
  <c r="I20" i="23"/>
  <c r="I14" i="23"/>
  <c r="J19" i="23"/>
  <c r="K19" i="23" l="1"/>
  <c r="L13" i="23"/>
  <c r="R13" i="23" s="1"/>
  <c r="U13" i="23" s="1"/>
  <c r="L19" i="23"/>
  <c r="J13" i="22"/>
  <c r="M12" i="22"/>
  <c r="M13" i="22" s="1"/>
  <c r="Q12" i="23"/>
  <c r="T12" i="23" s="1"/>
  <c r="N13" i="23"/>
  <c r="W16" i="23"/>
  <c r="W15" i="23"/>
  <c r="J14" i="23"/>
  <c r="L14" i="23"/>
  <c r="I15" i="23"/>
  <c r="K14" i="23"/>
  <c r="W14" i="23"/>
  <c r="J20" i="23"/>
  <c r="L20" i="23"/>
  <c r="I21" i="23"/>
  <c r="K20" i="23"/>
  <c r="H17" i="23"/>
  <c r="Q12" i="22"/>
  <c r="T12" i="22" s="1"/>
  <c r="M12" i="23"/>
  <c r="H21" i="23"/>
  <c r="W20" i="23"/>
  <c r="J14" i="22"/>
  <c r="L14" i="22"/>
  <c r="I15" i="22"/>
  <c r="K14" i="22"/>
  <c r="P11" i="23"/>
  <c r="S11" i="23" s="1"/>
  <c r="H13" i="22"/>
  <c r="W12" i="22"/>
  <c r="O13" i="22" s="1"/>
  <c r="R12" i="22"/>
  <c r="U12" i="22" s="1"/>
  <c r="P12" i="22"/>
  <c r="S12" i="22" s="1"/>
  <c r="W13" i="23"/>
  <c r="O14" i="23" s="1"/>
  <c r="O15" i="23" l="1"/>
  <c r="O16" i="23" s="1"/>
  <c r="O17" i="23" s="1"/>
  <c r="R14" i="23"/>
  <c r="U14" i="23" s="1"/>
  <c r="W17" i="23"/>
  <c r="H18" i="23"/>
  <c r="L15" i="22"/>
  <c r="I16" i="22"/>
  <c r="K15" i="22"/>
  <c r="J15" i="22"/>
  <c r="N13" i="22"/>
  <c r="P13" i="22"/>
  <c r="S13" i="22" s="1"/>
  <c r="W13" i="22"/>
  <c r="O14" i="22" s="1"/>
  <c r="H14" i="22"/>
  <c r="R13" i="22"/>
  <c r="U13" i="22" s="1"/>
  <c r="W21" i="23"/>
  <c r="H22" i="23"/>
  <c r="M13" i="23"/>
  <c r="P12" i="23"/>
  <c r="S12" i="23" s="1"/>
  <c r="L15" i="23"/>
  <c r="K15" i="23"/>
  <c r="J15" i="23"/>
  <c r="I16" i="23"/>
  <c r="L21" i="23"/>
  <c r="I22" i="23"/>
  <c r="K21" i="23"/>
  <c r="J21" i="23"/>
  <c r="N14" i="23"/>
  <c r="Q13" i="23"/>
  <c r="T13" i="23" s="1"/>
  <c r="R15" i="23" l="1"/>
  <c r="U15" i="23" s="1"/>
  <c r="H23" i="23"/>
  <c r="W22" i="23"/>
  <c r="N14" i="22"/>
  <c r="Q13" i="22"/>
  <c r="T13" i="22" s="1"/>
  <c r="J16" i="22"/>
  <c r="L16" i="22"/>
  <c r="I17" i="22"/>
  <c r="K16" i="22"/>
  <c r="W18" i="23"/>
  <c r="M14" i="22"/>
  <c r="Q14" i="23"/>
  <c r="T14" i="23" s="1"/>
  <c r="N15" i="23"/>
  <c r="J16" i="23"/>
  <c r="I17" i="23"/>
  <c r="K16" i="23"/>
  <c r="L16" i="23"/>
  <c r="R16" i="23" s="1"/>
  <c r="U16" i="23" s="1"/>
  <c r="H15" i="22"/>
  <c r="W14" i="22"/>
  <c r="O15" i="22" s="1"/>
  <c r="R14" i="22"/>
  <c r="U14" i="22" s="1"/>
  <c r="M14" i="23"/>
  <c r="P13" i="23"/>
  <c r="S13" i="23" s="1"/>
  <c r="J22" i="23"/>
  <c r="L22" i="23"/>
  <c r="I23" i="23"/>
  <c r="K22" i="23"/>
  <c r="O18" i="23"/>
  <c r="O19" i="23" l="1"/>
  <c r="R19" i="23" s="1"/>
  <c r="U19" i="23" s="1"/>
  <c r="L17" i="22"/>
  <c r="I18" i="22"/>
  <c r="K17" i="22"/>
  <c r="J17" i="22"/>
  <c r="Q14" i="22"/>
  <c r="T14" i="22" s="1"/>
  <c r="N15" i="22"/>
  <c r="L23" i="23"/>
  <c r="I24" i="23"/>
  <c r="K23" i="23"/>
  <c r="J23" i="23"/>
  <c r="M15" i="23"/>
  <c r="P14" i="23"/>
  <c r="S14" i="23" s="1"/>
  <c r="N16" i="23"/>
  <c r="Q15" i="23"/>
  <c r="T15" i="23" s="1"/>
  <c r="O20" i="23"/>
  <c r="H16" i="22"/>
  <c r="R15" i="22"/>
  <c r="U15" i="22" s="1"/>
  <c r="W15" i="22"/>
  <c r="O16" i="22" s="1"/>
  <c r="M15" i="22"/>
  <c r="M16" i="22" s="1"/>
  <c r="P14" i="22"/>
  <c r="S14" i="22" s="1"/>
  <c r="L17" i="23"/>
  <c r="R17" i="23" s="1"/>
  <c r="U17" i="23" s="1"/>
  <c r="K17" i="23"/>
  <c r="J17" i="23"/>
  <c r="I18" i="23"/>
  <c r="H24" i="23"/>
  <c r="W23" i="23"/>
  <c r="P15" i="22" l="1"/>
  <c r="S15" i="22" s="1"/>
  <c r="J24" i="23"/>
  <c r="L24" i="23"/>
  <c r="K24" i="23"/>
  <c r="I25" i="23"/>
  <c r="O21" i="23"/>
  <c r="R20" i="23"/>
  <c r="U20" i="23" s="1"/>
  <c r="M16" i="23"/>
  <c r="P15" i="23"/>
  <c r="S15" i="23" s="1"/>
  <c r="Q16" i="23"/>
  <c r="T16" i="23" s="1"/>
  <c r="N17" i="23"/>
  <c r="H25" i="23"/>
  <c r="W24" i="23"/>
  <c r="J18" i="23"/>
  <c r="L18" i="23"/>
  <c r="R18" i="23" s="1"/>
  <c r="U18" i="23" s="1"/>
  <c r="K18" i="23"/>
  <c r="H17" i="22"/>
  <c r="W16" i="22"/>
  <c r="O17" i="22" s="1"/>
  <c r="R16" i="22"/>
  <c r="U16" i="22" s="1"/>
  <c r="P16" i="22"/>
  <c r="S16" i="22" s="1"/>
  <c r="N16" i="22"/>
  <c r="Q15" i="22"/>
  <c r="T15" i="22" s="1"/>
  <c r="J18" i="22"/>
  <c r="L18" i="22"/>
  <c r="I19" i="22"/>
  <c r="K18" i="22"/>
  <c r="M17" i="22" l="1"/>
  <c r="W25" i="23"/>
  <c r="H26" i="23"/>
  <c r="O22" i="23"/>
  <c r="R21" i="23"/>
  <c r="U21" i="23" s="1"/>
  <c r="L25" i="23"/>
  <c r="I26" i="23"/>
  <c r="K25" i="23"/>
  <c r="J25" i="23"/>
  <c r="N18" i="23"/>
  <c r="Q17" i="23"/>
  <c r="T17" i="23" s="1"/>
  <c r="L19" i="22"/>
  <c r="I20" i="22"/>
  <c r="K19" i="22"/>
  <c r="J19" i="22"/>
  <c r="Q16" i="22"/>
  <c r="T16" i="22" s="1"/>
  <c r="N17" i="22"/>
  <c r="W17" i="22"/>
  <c r="O18" i="22" s="1"/>
  <c r="R17" i="22"/>
  <c r="U17" i="22" s="1"/>
  <c r="H18" i="22"/>
  <c r="M17" i="23"/>
  <c r="P16" i="23"/>
  <c r="S16" i="23" s="1"/>
  <c r="M18" i="22" l="1"/>
  <c r="P18" i="22" s="1"/>
  <c r="S18" i="22" s="1"/>
  <c r="M18" i="23"/>
  <c r="P17" i="23"/>
  <c r="S17" i="23" s="1"/>
  <c r="P17" i="22"/>
  <c r="S17" i="22" s="1"/>
  <c r="Q18" i="23"/>
  <c r="T18" i="23" s="1"/>
  <c r="N19" i="23"/>
  <c r="H19" i="22"/>
  <c r="W18" i="22"/>
  <c r="O19" i="22" s="1"/>
  <c r="R18" i="22"/>
  <c r="U18" i="22" s="1"/>
  <c r="N18" i="22"/>
  <c r="Q17" i="22"/>
  <c r="T17" i="22" s="1"/>
  <c r="J20" i="22"/>
  <c r="L20" i="22"/>
  <c r="I21" i="22"/>
  <c r="K20" i="22"/>
  <c r="J26" i="23"/>
  <c r="L26" i="23"/>
  <c r="I27" i="23"/>
  <c r="K26" i="23"/>
  <c r="O23" i="23"/>
  <c r="R22" i="23"/>
  <c r="U22" i="23" s="1"/>
  <c r="H27" i="23"/>
  <c r="W26" i="23"/>
  <c r="L27" i="23" l="1"/>
  <c r="I28" i="23"/>
  <c r="K27" i="23"/>
  <c r="J27" i="23"/>
  <c r="L21" i="22"/>
  <c r="I22" i="22"/>
  <c r="K21" i="22"/>
  <c r="J21" i="22"/>
  <c r="Q18" i="22"/>
  <c r="T18" i="22" s="1"/>
  <c r="N19" i="22"/>
  <c r="H20" i="22"/>
  <c r="R19" i="22"/>
  <c r="U19" i="22" s="1"/>
  <c r="W19" i="22"/>
  <c r="O20" i="22" s="1"/>
  <c r="M19" i="22"/>
  <c r="O24" i="23"/>
  <c r="R23" i="23"/>
  <c r="U23" i="23" s="1"/>
  <c r="H28" i="23"/>
  <c r="W27" i="23"/>
  <c r="N20" i="23"/>
  <c r="Q19" i="23"/>
  <c r="T19" i="23" s="1"/>
  <c r="M19" i="23"/>
  <c r="P18" i="23"/>
  <c r="S18" i="23" s="1"/>
  <c r="M20" i="22" l="1"/>
  <c r="P19" i="22"/>
  <c r="S19" i="22" s="1"/>
  <c r="H21" i="22"/>
  <c r="W20" i="22"/>
  <c r="O21" i="22" s="1"/>
  <c r="R20" i="22"/>
  <c r="U20" i="22" s="1"/>
  <c r="P20" i="22"/>
  <c r="S20" i="22" s="1"/>
  <c r="M20" i="23"/>
  <c r="P19" i="23"/>
  <c r="S19" i="23" s="1"/>
  <c r="H29" i="23"/>
  <c r="W28" i="23"/>
  <c r="Q20" i="23"/>
  <c r="T20" i="23" s="1"/>
  <c r="N21" i="23"/>
  <c r="O25" i="23"/>
  <c r="R24" i="23"/>
  <c r="U24" i="23" s="1"/>
  <c r="N20" i="22"/>
  <c r="Q19" i="22"/>
  <c r="T19" i="22" s="1"/>
  <c r="J22" i="22"/>
  <c r="L22" i="22"/>
  <c r="I23" i="22"/>
  <c r="K22" i="22"/>
  <c r="J28" i="23"/>
  <c r="L28" i="23"/>
  <c r="I29" i="23"/>
  <c r="K28" i="23"/>
  <c r="N22" i="23" l="1"/>
  <c r="Q21" i="23"/>
  <c r="T21" i="23" s="1"/>
  <c r="I30" i="23"/>
  <c r="L29" i="23"/>
  <c r="K29" i="23"/>
  <c r="J29" i="23"/>
  <c r="Q20" i="22"/>
  <c r="T20" i="22" s="1"/>
  <c r="N21" i="22"/>
  <c r="M21" i="22"/>
  <c r="P21" i="22" s="1"/>
  <c r="S21" i="22" s="1"/>
  <c r="M21" i="23"/>
  <c r="P20" i="23"/>
  <c r="S20" i="23" s="1"/>
  <c r="W21" i="22"/>
  <c r="O22" i="22" s="1"/>
  <c r="H22" i="22"/>
  <c r="R21" i="22"/>
  <c r="U21" i="22" s="1"/>
  <c r="H30" i="23"/>
  <c r="W29" i="23"/>
  <c r="L23" i="22"/>
  <c r="I24" i="22"/>
  <c r="K23" i="22"/>
  <c r="J23" i="22"/>
  <c r="O26" i="23"/>
  <c r="R25" i="23"/>
  <c r="U25" i="23" s="1"/>
  <c r="J24" i="22" l="1"/>
  <c r="I25" i="22"/>
  <c r="K24" i="22"/>
  <c r="L24" i="22"/>
  <c r="H23" i="22"/>
  <c r="W22" i="22"/>
  <c r="O23" i="22" s="1"/>
  <c r="R22" i="22"/>
  <c r="U22" i="22" s="1"/>
  <c r="H31" i="23"/>
  <c r="W30" i="23"/>
  <c r="N22" i="22"/>
  <c r="Q21" i="22"/>
  <c r="T21" i="22" s="1"/>
  <c r="Q22" i="23"/>
  <c r="T22" i="23" s="1"/>
  <c r="N23" i="23"/>
  <c r="O27" i="23"/>
  <c r="R26" i="23"/>
  <c r="U26" i="23" s="1"/>
  <c r="M22" i="23"/>
  <c r="P21" i="23"/>
  <c r="S21" i="23" s="1"/>
  <c r="M22" i="22"/>
  <c r="M23" i="22" s="1"/>
  <c r="L30" i="23"/>
  <c r="I31" i="23"/>
  <c r="K30" i="23"/>
  <c r="J30" i="23"/>
  <c r="O28" i="23" l="1"/>
  <c r="R27" i="23"/>
  <c r="U27" i="23" s="1"/>
  <c r="H32" i="23"/>
  <c r="W31" i="23"/>
  <c r="M23" i="23"/>
  <c r="P22" i="23"/>
  <c r="S22" i="23" s="1"/>
  <c r="N24" i="23"/>
  <c r="Q23" i="23"/>
  <c r="T23" i="23" s="1"/>
  <c r="P23" i="22"/>
  <c r="S23" i="22" s="1"/>
  <c r="H24" i="22"/>
  <c r="R23" i="22"/>
  <c r="U23" i="22" s="1"/>
  <c r="W23" i="22"/>
  <c r="O24" i="22" s="1"/>
  <c r="M24" i="22"/>
  <c r="P22" i="22"/>
  <c r="S22" i="22" s="1"/>
  <c r="J31" i="23"/>
  <c r="L31" i="23"/>
  <c r="I32" i="23"/>
  <c r="K31" i="23"/>
  <c r="Q22" i="22"/>
  <c r="T22" i="22" s="1"/>
  <c r="N23" i="22"/>
  <c r="L25" i="22"/>
  <c r="I26" i="22"/>
  <c r="K25" i="22"/>
  <c r="J25" i="22"/>
  <c r="J26" i="22" l="1"/>
  <c r="L26" i="22"/>
  <c r="I27" i="22"/>
  <c r="K26" i="22"/>
  <c r="Q24" i="23"/>
  <c r="T24" i="23" s="1"/>
  <c r="N25" i="23"/>
  <c r="M24" i="23"/>
  <c r="P23" i="23"/>
  <c r="S23" i="23" s="1"/>
  <c r="L32" i="23"/>
  <c r="J32" i="23"/>
  <c r="K32" i="23"/>
  <c r="I33" i="23"/>
  <c r="H25" i="22"/>
  <c r="W24" i="22"/>
  <c r="O25" i="22" s="1"/>
  <c r="R24" i="22"/>
  <c r="U24" i="22" s="1"/>
  <c r="P24" i="22"/>
  <c r="S24" i="22" s="1"/>
  <c r="H33" i="23"/>
  <c r="W32" i="23"/>
  <c r="N24" i="22"/>
  <c r="Q23" i="22"/>
  <c r="T23" i="22" s="1"/>
  <c r="O29" i="23"/>
  <c r="R28" i="23"/>
  <c r="U28" i="23" s="1"/>
  <c r="M25" i="22" l="1"/>
  <c r="P25" i="22"/>
  <c r="S25" i="22" s="1"/>
  <c r="W25" i="22"/>
  <c r="O26" i="22" s="1"/>
  <c r="R25" i="22"/>
  <c r="U25" i="22" s="1"/>
  <c r="H26" i="22"/>
  <c r="M25" i="23"/>
  <c r="P24" i="23"/>
  <c r="S24" i="23" s="1"/>
  <c r="O30" i="23"/>
  <c r="R29" i="23"/>
  <c r="U29" i="23" s="1"/>
  <c r="N26" i="23"/>
  <c r="Q25" i="23"/>
  <c r="T25" i="23" s="1"/>
  <c r="J33" i="23"/>
  <c r="L33" i="23"/>
  <c r="I34" i="23"/>
  <c r="K33" i="23"/>
  <c r="L27" i="22"/>
  <c r="K27" i="22"/>
  <c r="J27" i="22"/>
  <c r="I28" i="22"/>
  <c r="Q24" i="22"/>
  <c r="T24" i="22" s="1"/>
  <c r="N25" i="22"/>
  <c r="H34" i="23"/>
  <c r="W33" i="23"/>
  <c r="L34" i="23" l="1"/>
  <c r="I35" i="23"/>
  <c r="K34" i="23"/>
  <c r="J34" i="23"/>
  <c r="M26" i="22"/>
  <c r="M26" i="23"/>
  <c r="P25" i="23"/>
  <c r="S25" i="23" s="1"/>
  <c r="O31" i="23"/>
  <c r="R30" i="23"/>
  <c r="U30" i="23" s="1"/>
  <c r="W34" i="23"/>
  <c r="H35" i="23"/>
  <c r="Q26" i="23"/>
  <c r="T26" i="23" s="1"/>
  <c r="N27" i="23"/>
  <c r="N26" i="22"/>
  <c r="Q25" i="22"/>
  <c r="T25" i="22" s="1"/>
  <c r="J28" i="22"/>
  <c r="L28" i="22"/>
  <c r="K28" i="22"/>
  <c r="I29" i="22"/>
  <c r="H27" i="22"/>
  <c r="W26" i="22"/>
  <c r="O27" i="22" s="1"/>
  <c r="R26" i="22"/>
  <c r="U26" i="22" s="1"/>
  <c r="M27" i="22" l="1"/>
  <c r="H28" i="22"/>
  <c r="P27" i="22"/>
  <c r="S27" i="22" s="1"/>
  <c r="R27" i="22"/>
  <c r="U27" i="22" s="1"/>
  <c r="W27" i="22"/>
  <c r="O28" i="22" s="1"/>
  <c r="P26" i="22"/>
  <c r="S26" i="22" s="1"/>
  <c r="L29" i="22"/>
  <c r="I30" i="22"/>
  <c r="K29" i="22"/>
  <c r="J29" i="22"/>
  <c r="N28" i="23"/>
  <c r="Q27" i="23"/>
  <c r="T27" i="23" s="1"/>
  <c r="O32" i="23"/>
  <c r="R31" i="23"/>
  <c r="U31" i="23" s="1"/>
  <c r="M27" i="23"/>
  <c r="P26" i="23"/>
  <c r="S26" i="23" s="1"/>
  <c r="Q26" i="22"/>
  <c r="T26" i="22" s="1"/>
  <c r="N27" i="22"/>
  <c r="M28" i="22"/>
  <c r="H36" i="23"/>
  <c r="W35" i="23"/>
  <c r="J35" i="23"/>
  <c r="L35" i="23"/>
  <c r="I36" i="23"/>
  <c r="K35" i="23"/>
  <c r="J30" i="22" l="1"/>
  <c r="I31" i="22"/>
  <c r="K30" i="22"/>
  <c r="L30" i="22"/>
  <c r="H37" i="23"/>
  <c r="W36" i="23"/>
  <c r="M28" i="23"/>
  <c r="P27" i="23"/>
  <c r="S27" i="23" s="1"/>
  <c r="Q28" i="23"/>
  <c r="T28" i="23" s="1"/>
  <c r="N29" i="23"/>
  <c r="H29" i="22"/>
  <c r="W28" i="22"/>
  <c r="O29" i="22" s="1"/>
  <c r="R28" i="22"/>
  <c r="U28" i="22" s="1"/>
  <c r="P28" i="22"/>
  <c r="S28" i="22" s="1"/>
  <c r="L36" i="23"/>
  <c r="I37" i="23"/>
  <c r="K36" i="23"/>
  <c r="J36" i="23"/>
  <c r="N28" i="22"/>
  <c r="Q27" i="22"/>
  <c r="T27" i="22" s="1"/>
  <c r="O33" i="23"/>
  <c r="R32" i="23"/>
  <c r="U32" i="23" s="1"/>
  <c r="W29" i="22" l="1"/>
  <c r="O30" i="22" s="1"/>
  <c r="H30" i="22"/>
  <c r="R29" i="22"/>
  <c r="U29" i="22" s="1"/>
  <c r="H38" i="23"/>
  <c r="W37" i="23"/>
  <c r="O34" i="23"/>
  <c r="R33" i="23"/>
  <c r="U33" i="23" s="1"/>
  <c r="N30" i="23"/>
  <c r="Q29" i="23"/>
  <c r="T29" i="23" s="1"/>
  <c r="Q28" i="22"/>
  <c r="T28" i="22" s="1"/>
  <c r="N29" i="22"/>
  <c r="L31" i="22"/>
  <c r="I32" i="22"/>
  <c r="K31" i="22"/>
  <c r="J31" i="22"/>
  <c r="J37" i="23"/>
  <c r="L37" i="23"/>
  <c r="I38" i="23"/>
  <c r="K37" i="23"/>
  <c r="M29" i="23"/>
  <c r="P28" i="23"/>
  <c r="S28" i="23" s="1"/>
  <c r="M29" i="22"/>
  <c r="M30" i="22" s="1"/>
  <c r="N30" i="22" l="1"/>
  <c r="Q29" i="22"/>
  <c r="T29" i="22" s="1"/>
  <c r="N31" i="23"/>
  <c r="Q30" i="23"/>
  <c r="T30" i="23" s="1"/>
  <c r="O35" i="23"/>
  <c r="R34" i="23"/>
  <c r="U34" i="23" s="1"/>
  <c r="W38" i="23"/>
  <c r="H39" i="23"/>
  <c r="H31" i="22"/>
  <c r="W30" i="22"/>
  <c r="O31" i="22" s="1"/>
  <c r="R30" i="22"/>
  <c r="U30" i="22" s="1"/>
  <c r="P30" i="22"/>
  <c r="S30" i="22" s="1"/>
  <c r="M30" i="23"/>
  <c r="P29" i="23"/>
  <c r="S29" i="23" s="1"/>
  <c r="L38" i="23"/>
  <c r="I39" i="23"/>
  <c r="K38" i="23"/>
  <c r="J38" i="23"/>
  <c r="J32" i="22"/>
  <c r="I33" i="22"/>
  <c r="K32" i="22"/>
  <c r="L32" i="22"/>
  <c r="P29" i="22"/>
  <c r="S29" i="22" s="1"/>
  <c r="M31" i="22" l="1"/>
  <c r="M32" i="22" s="1"/>
  <c r="Q30" i="22"/>
  <c r="T30" i="22" s="1"/>
  <c r="N31" i="22"/>
  <c r="M31" i="23"/>
  <c r="P30" i="23"/>
  <c r="S30" i="23" s="1"/>
  <c r="P31" i="22"/>
  <c r="S31" i="22" s="1"/>
  <c r="R31" i="22"/>
  <c r="U31" i="22" s="1"/>
  <c r="W31" i="22"/>
  <c r="O32" i="22" s="1"/>
  <c r="H32" i="22"/>
  <c r="Q31" i="23"/>
  <c r="T31" i="23" s="1"/>
  <c r="N32" i="23"/>
  <c r="H40" i="23"/>
  <c r="W39" i="23"/>
  <c r="O36" i="23"/>
  <c r="R35" i="23"/>
  <c r="U35" i="23" s="1"/>
  <c r="L33" i="22"/>
  <c r="I34" i="22"/>
  <c r="K33" i="22"/>
  <c r="J33" i="22"/>
  <c r="J39" i="23"/>
  <c r="L39" i="23"/>
  <c r="I40" i="23"/>
  <c r="K39" i="23"/>
  <c r="O37" i="23" l="1"/>
  <c r="R36" i="23"/>
  <c r="U36" i="23" s="1"/>
  <c r="H41" i="23"/>
  <c r="W40" i="23"/>
  <c r="M32" i="23"/>
  <c r="P31" i="23"/>
  <c r="S31" i="23" s="1"/>
  <c r="N32" i="22"/>
  <c r="Q31" i="22"/>
  <c r="T31" i="22" s="1"/>
  <c r="H33" i="22"/>
  <c r="W32" i="22"/>
  <c r="O33" i="22" s="1"/>
  <c r="R32" i="22"/>
  <c r="U32" i="22" s="1"/>
  <c r="P32" i="22"/>
  <c r="S32" i="22" s="1"/>
  <c r="L40" i="23"/>
  <c r="I41" i="23"/>
  <c r="K40" i="23"/>
  <c r="J40" i="23"/>
  <c r="J34" i="22"/>
  <c r="L34" i="22"/>
  <c r="I35" i="22"/>
  <c r="K34" i="22"/>
  <c r="N33" i="23"/>
  <c r="Q32" i="23"/>
  <c r="T32" i="23" s="1"/>
  <c r="M33" i="22" l="1"/>
  <c r="P33" i="22"/>
  <c r="S33" i="22" s="1"/>
  <c r="R33" i="22"/>
  <c r="U33" i="22" s="1"/>
  <c r="H34" i="22"/>
  <c r="W33" i="22"/>
  <c r="O34" i="22" s="1"/>
  <c r="O38" i="23"/>
  <c r="R37" i="23"/>
  <c r="U37" i="23" s="1"/>
  <c r="J41" i="23"/>
  <c r="I42" i="23"/>
  <c r="L41" i="23"/>
  <c r="K41" i="23"/>
  <c r="M33" i="23"/>
  <c r="P32" i="23"/>
  <c r="S32" i="23" s="1"/>
  <c r="N33" i="22"/>
  <c r="Q32" i="22"/>
  <c r="T32" i="22" s="1"/>
  <c r="Q33" i="23"/>
  <c r="T33" i="23" s="1"/>
  <c r="N34" i="23"/>
  <c r="L35" i="22"/>
  <c r="J35" i="22"/>
  <c r="K35" i="22"/>
  <c r="I36" i="22"/>
  <c r="H42" i="23"/>
  <c r="W41" i="23"/>
  <c r="M34" i="22" l="1"/>
  <c r="N35" i="23"/>
  <c r="Q34" i="23"/>
  <c r="T34" i="23" s="1"/>
  <c r="L42" i="23"/>
  <c r="I43" i="23"/>
  <c r="K42" i="23"/>
  <c r="J42" i="23"/>
  <c r="M34" i="23"/>
  <c r="P33" i="23"/>
  <c r="S33" i="23" s="1"/>
  <c r="O39" i="23"/>
  <c r="R38" i="23"/>
  <c r="U38" i="23" s="1"/>
  <c r="W42" i="23"/>
  <c r="H43" i="23"/>
  <c r="J36" i="22"/>
  <c r="L36" i="22"/>
  <c r="I37" i="22"/>
  <c r="K36" i="22"/>
  <c r="N34" i="22"/>
  <c r="Q33" i="22"/>
  <c r="T33" i="22" s="1"/>
  <c r="H35" i="22"/>
  <c r="W34" i="22"/>
  <c r="M35" i="22" s="1"/>
  <c r="R34" i="22"/>
  <c r="U34" i="22" s="1"/>
  <c r="P34" i="22"/>
  <c r="S34" i="22" s="1"/>
  <c r="W43" i="23" l="1"/>
  <c r="H44" i="23"/>
  <c r="L37" i="22"/>
  <c r="I38" i="22"/>
  <c r="K37" i="22"/>
  <c r="J37" i="22"/>
  <c r="Q35" i="23"/>
  <c r="T35" i="23" s="1"/>
  <c r="N36" i="23"/>
  <c r="Q34" i="22"/>
  <c r="T34" i="22" s="1"/>
  <c r="N35" i="22"/>
  <c r="J43" i="23"/>
  <c r="L43" i="23"/>
  <c r="K43" i="23"/>
  <c r="I44" i="23"/>
  <c r="O35" i="22"/>
  <c r="P35" i="22"/>
  <c r="S35" i="22" s="1"/>
  <c r="H36" i="22"/>
  <c r="W35" i="22"/>
  <c r="M36" i="22" s="1"/>
  <c r="O40" i="23"/>
  <c r="R39" i="23"/>
  <c r="U39" i="23" s="1"/>
  <c r="M35" i="23"/>
  <c r="P34" i="23"/>
  <c r="S34" i="23" s="1"/>
  <c r="O36" i="22" l="1"/>
  <c r="J38" i="22"/>
  <c r="I39" i="22"/>
  <c r="K38" i="22"/>
  <c r="L38" i="22"/>
  <c r="N36" i="22"/>
  <c r="Q35" i="22"/>
  <c r="T35" i="22" s="1"/>
  <c r="M36" i="23"/>
  <c r="P35" i="23"/>
  <c r="S35" i="23" s="1"/>
  <c r="O41" i="23"/>
  <c r="R40" i="23"/>
  <c r="U40" i="23" s="1"/>
  <c r="H37" i="22"/>
  <c r="W36" i="22"/>
  <c r="M37" i="22" s="1"/>
  <c r="R36" i="22"/>
  <c r="U36" i="22" s="1"/>
  <c r="P36" i="22"/>
  <c r="S36" i="22" s="1"/>
  <c r="J44" i="23"/>
  <c r="L44" i="23"/>
  <c r="I45" i="23"/>
  <c r="K44" i="23"/>
  <c r="R35" i="22"/>
  <c r="U35" i="22" s="1"/>
  <c r="N37" i="23"/>
  <c r="Q36" i="23"/>
  <c r="T36" i="23" s="1"/>
  <c r="H45" i="23"/>
  <c r="W44" i="23"/>
  <c r="Q36" i="22" l="1"/>
  <c r="T36" i="22" s="1"/>
  <c r="N37" i="22"/>
  <c r="H46" i="23"/>
  <c r="W45" i="23"/>
  <c r="L45" i="23"/>
  <c r="J45" i="23"/>
  <c r="I46" i="23"/>
  <c r="K45" i="23"/>
  <c r="O37" i="22"/>
  <c r="O42" i="23"/>
  <c r="R41" i="23"/>
  <c r="U41" i="23" s="1"/>
  <c r="M37" i="23"/>
  <c r="P36" i="23"/>
  <c r="S36" i="23" s="1"/>
  <c r="Q37" i="23"/>
  <c r="T37" i="23" s="1"/>
  <c r="N38" i="23"/>
  <c r="P37" i="22"/>
  <c r="S37" i="22" s="1"/>
  <c r="W37" i="22"/>
  <c r="M38" i="22" s="1"/>
  <c r="H38" i="22"/>
  <c r="L39" i="22"/>
  <c r="I40" i="22"/>
  <c r="K39" i="22"/>
  <c r="J39" i="22"/>
  <c r="J40" i="22" l="1"/>
  <c r="L40" i="22"/>
  <c r="I41" i="22"/>
  <c r="K40" i="22"/>
  <c r="O43" i="23"/>
  <c r="R42" i="23"/>
  <c r="U42" i="23" s="1"/>
  <c r="H39" i="22"/>
  <c r="W38" i="22"/>
  <c r="M39" i="22" s="1"/>
  <c r="P38" i="22"/>
  <c r="S38" i="22" s="1"/>
  <c r="O38" i="22"/>
  <c r="R38" i="22" s="1"/>
  <c r="U38" i="22" s="1"/>
  <c r="H47" i="23"/>
  <c r="W46" i="23"/>
  <c r="R37" i="22"/>
  <c r="U37" i="22" s="1"/>
  <c r="N39" i="23"/>
  <c r="Q38" i="23"/>
  <c r="T38" i="23" s="1"/>
  <c r="M38" i="23"/>
  <c r="P37" i="23"/>
  <c r="S37" i="23" s="1"/>
  <c r="J46" i="23"/>
  <c r="L46" i="23"/>
  <c r="K46" i="23"/>
  <c r="I47" i="23"/>
  <c r="N38" i="22"/>
  <c r="Q37" i="22"/>
  <c r="T37" i="22" s="1"/>
  <c r="Q38" i="22" l="1"/>
  <c r="T38" i="22" s="1"/>
  <c r="N39" i="22"/>
  <c r="Q39" i="23"/>
  <c r="T39" i="23" s="1"/>
  <c r="N40" i="23"/>
  <c r="L47" i="23"/>
  <c r="I48" i="23"/>
  <c r="K47" i="23"/>
  <c r="J47" i="23"/>
  <c r="W47" i="23"/>
  <c r="H48" i="23"/>
  <c r="P39" i="22"/>
  <c r="S39" i="22" s="1"/>
  <c r="W39" i="22"/>
  <c r="M40" i="22" s="1"/>
  <c r="H40" i="22"/>
  <c r="L41" i="22"/>
  <c r="I42" i="22"/>
  <c r="K41" i="22"/>
  <c r="J41" i="22"/>
  <c r="M39" i="23"/>
  <c r="P38" i="23"/>
  <c r="S38" i="23" s="1"/>
  <c r="O39" i="22"/>
  <c r="O40" i="22" s="1"/>
  <c r="O44" i="23"/>
  <c r="R43" i="23"/>
  <c r="U43" i="23" s="1"/>
  <c r="R39" i="22" l="1"/>
  <c r="U39" i="22" s="1"/>
  <c r="N40" i="22"/>
  <c r="Q39" i="22"/>
  <c r="T39" i="22" s="1"/>
  <c r="J42" i="22"/>
  <c r="I43" i="22"/>
  <c r="K42" i="22"/>
  <c r="L42" i="22"/>
  <c r="H41" i="22"/>
  <c r="W40" i="22"/>
  <c r="M41" i="22" s="1"/>
  <c r="R40" i="22"/>
  <c r="U40" i="22" s="1"/>
  <c r="P40" i="22"/>
  <c r="S40" i="22" s="1"/>
  <c r="J48" i="23"/>
  <c r="L48" i="23"/>
  <c r="I49" i="23"/>
  <c r="K48" i="23"/>
  <c r="O45" i="23"/>
  <c r="R44" i="23"/>
  <c r="U44" i="23" s="1"/>
  <c r="H49" i="23"/>
  <c r="W48" i="23"/>
  <c r="M40" i="23"/>
  <c r="P39" i="23"/>
  <c r="S39" i="23" s="1"/>
  <c r="N41" i="23"/>
  <c r="Q40" i="23"/>
  <c r="T40" i="23" s="1"/>
  <c r="O41" i="22" l="1"/>
  <c r="L49" i="23"/>
  <c r="I50" i="23"/>
  <c r="K49" i="23"/>
  <c r="J49" i="23"/>
  <c r="P41" i="22"/>
  <c r="S41" i="22" s="1"/>
  <c r="H42" i="22"/>
  <c r="R41" i="22"/>
  <c r="U41" i="22" s="1"/>
  <c r="W41" i="22"/>
  <c r="M42" i="22" s="1"/>
  <c r="M41" i="23"/>
  <c r="P40" i="23"/>
  <c r="S40" i="23" s="1"/>
  <c r="H50" i="23"/>
  <c r="W49" i="23"/>
  <c r="O46" i="23"/>
  <c r="R45" i="23"/>
  <c r="U45" i="23" s="1"/>
  <c r="L43" i="22"/>
  <c r="I44" i="22"/>
  <c r="K43" i="22"/>
  <c r="J43" i="22"/>
  <c r="O42" i="22"/>
  <c r="Q40" i="22"/>
  <c r="T40" i="22" s="1"/>
  <c r="N41" i="22"/>
  <c r="Q41" i="23"/>
  <c r="T41" i="23" s="1"/>
  <c r="N42" i="23"/>
  <c r="H51" i="23" l="1"/>
  <c r="W50" i="23"/>
  <c r="H43" i="22"/>
  <c r="W42" i="22"/>
  <c r="M43" i="22" s="1"/>
  <c r="R42" i="22"/>
  <c r="U42" i="22" s="1"/>
  <c r="P42" i="22"/>
  <c r="S42" i="22" s="1"/>
  <c r="J50" i="23"/>
  <c r="L50" i="23"/>
  <c r="I51" i="23"/>
  <c r="K50" i="23"/>
  <c r="N42" i="22"/>
  <c r="Q41" i="22"/>
  <c r="T41" i="22" s="1"/>
  <c r="O47" i="23"/>
  <c r="R46" i="23"/>
  <c r="U46" i="23" s="1"/>
  <c r="N43" i="23"/>
  <c r="Q42" i="23"/>
  <c r="T42" i="23" s="1"/>
  <c r="J44" i="22"/>
  <c r="L44" i="22"/>
  <c r="I45" i="22"/>
  <c r="K44" i="22"/>
  <c r="M42" i="23"/>
  <c r="P41" i="23"/>
  <c r="S41" i="23" s="1"/>
  <c r="O43" i="22" l="1"/>
  <c r="L45" i="22"/>
  <c r="I46" i="22"/>
  <c r="K45" i="22"/>
  <c r="J45" i="22"/>
  <c r="O48" i="23"/>
  <c r="R47" i="23"/>
  <c r="U47" i="23" s="1"/>
  <c r="L51" i="23"/>
  <c r="I52" i="23"/>
  <c r="K51" i="23"/>
  <c r="J51" i="23"/>
  <c r="W51" i="23"/>
  <c r="H52" i="23"/>
  <c r="M43" i="23"/>
  <c r="P42" i="23"/>
  <c r="S42" i="23" s="1"/>
  <c r="N44" i="23"/>
  <c r="Q43" i="23"/>
  <c r="T43" i="23" s="1"/>
  <c r="Q42" i="22"/>
  <c r="T42" i="22" s="1"/>
  <c r="N43" i="22"/>
  <c r="P43" i="22"/>
  <c r="S43" i="22" s="1"/>
  <c r="W43" i="22"/>
  <c r="M44" i="22" s="1"/>
  <c r="R43" i="22"/>
  <c r="U43" i="22" s="1"/>
  <c r="H44" i="22"/>
  <c r="O44" i="22" l="1"/>
  <c r="H53" i="23"/>
  <c r="W52" i="23"/>
  <c r="J46" i="22"/>
  <c r="I47" i="22"/>
  <c r="K46" i="22"/>
  <c r="L46" i="22"/>
  <c r="H45" i="22"/>
  <c r="W44" i="22"/>
  <c r="M45" i="22" s="1"/>
  <c r="R44" i="22"/>
  <c r="U44" i="22" s="1"/>
  <c r="P44" i="22"/>
  <c r="S44" i="22" s="1"/>
  <c r="N44" i="22"/>
  <c r="Q43" i="22"/>
  <c r="T43" i="22" s="1"/>
  <c r="Q44" i="23"/>
  <c r="T44" i="23" s="1"/>
  <c r="N45" i="23"/>
  <c r="M44" i="23"/>
  <c r="P43" i="23"/>
  <c r="S43" i="23" s="1"/>
  <c r="J52" i="23"/>
  <c r="L52" i="23"/>
  <c r="I53" i="23"/>
  <c r="K52" i="23"/>
  <c r="O49" i="23"/>
  <c r="R48" i="23"/>
  <c r="U48" i="23" s="1"/>
  <c r="O45" i="22" l="1"/>
  <c r="L53" i="23"/>
  <c r="I54" i="23"/>
  <c r="K53" i="23"/>
  <c r="J53" i="23"/>
  <c r="O50" i="23"/>
  <c r="R49" i="23"/>
  <c r="U49" i="23" s="1"/>
  <c r="N46" i="23"/>
  <c r="Q45" i="23"/>
  <c r="T45" i="23" s="1"/>
  <c r="L47" i="22"/>
  <c r="I48" i="22"/>
  <c r="K47" i="22"/>
  <c r="J47" i="22"/>
  <c r="M45" i="23"/>
  <c r="P44" i="23"/>
  <c r="S44" i="23" s="1"/>
  <c r="Q44" i="22"/>
  <c r="T44" i="22" s="1"/>
  <c r="N45" i="22"/>
  <c r="P45" i="22"/>
  <c r="S45" i="22" s="1"/>
  <c r="H46" i="22"/>
  <c r="R45" i="22"/>
  <c r="U45" i="22" s="1"/>
  <c r="W45" i="22"/>
  <c r="O46" i="22" s="1"/>
  <c r="H54" i="23"/>
  <c r="W53" i="23"/>
  <c r="N47" i="23" l="1"/>
  <c r="Q46" i="23"/>
  <c r="T46" i="23" s="1"/>
  <c r="M46" i="23"/>
  <c r="P45" i="23"/>
  <c r="S45" i="23" s="1"/>
  <c r="J48" i="22"/>
  <c r="L48" i="22"/>
  <c r="I49" i="22"/>
  <c r="K48" i="22"/>
  <c r="M46" i="22"/>
  <c r="O51" i="23"/>
  <c r="R50" i="23"/>
  <c r="U50" i="23" s="1"/>
  <c r="N46" i="22"/>
  <c r="Q45" i="22"/>
  <c r="T45" i="22" s="1"/>
  <c r="H55" i="23"/>
  <c r="W54" i="23"/>
  <c r="H47" i="22"/>
  <c r="W46" i="22"/>
  <c r="O47" i="22" s="1"/>
  <c r="R46" i="22"/>
  <c r="U46" i="22" s="1"/>
  <c r="J54" i="23"/>
  <c r="L54" i="23"/>
  <c r="K54" i="23"/>
  <c r="I55" i="23"/>
  <c r="M47" i="22" l="1"/>
  <c r="N48" i="23"/>
  <c r="Q47" i="23"/>
  <c r="T47" i="23" s="1"/>
  <c r="L55" i="23"/>
  <c r="I56" i="23"/>
  <c r="K55" i="23"/>
  <c r="J55" i="23"/>
  <c r="O52" i="23"/>
  <c r="R51" i="23"/>
  <c r="U51" i="23" s="1"/>
  <c r="P47" i="22"/>
  <c r="S47" i="22" s="1"/>
  <c r="W47" i="22"/>
  <c r="M48" i="22" s="1"/>
  <c r="H48" i="22"/>
  <c r="R47" i="22"/>
  <c r="U47" i="22" s="1"/>
  <c r="W55" i="23"/>
  <c r="H56" i="23"/>
  <c r="Q46" i="22"/>
  <c r="T46" i="22" s="1"/>
  <c r="N47" i="22"/>
  <c r="P46" i="22"/>
  <c r="S46" i="22" s="1"/>
  <c r="L49" i="22"/>
  <c r="I50" i="22"/>
  <c r="K49" i="22"/>
  <c r="J49" i="22"/>
  <c r="M47" i="23"/>
  <c r="P46" i="23"/>
  <c r="S46" i="23" s="1"/>
  <c r="J50" i="22" l="1"/>
  <c r="I51" i="22"/>
  <c r="K50" i="22"/>
  <c r="L50" i="22"/>
  <c r="N48" i="22"/>
  <c r="Q47" i="22"/>
  <c r="T47" i="22" s="1"/>
  <c r="O53" i="23"/>
  <c r="R52" i="23"/>
  <c r="U52" i="23" s="1"/>
  <c r="M48" i="23"/>
  <c r="P47" i="23"/>
  <c r="S47" i="23" s="1"/>
  <c r="Q48" i="23"/>
  <c r="T48" i="23" s="1"/>
  <c r="N49" i="23"/>
  <c r="H57" i="23"/>
  <c r="W56" i="23"/>
  <c r="J56" i="23"/>
  <c r="L56" i="23"/>
  <c r="I57" i="23"/>
  <c r="K56" i="23"/>
  <c r="O48" i="22"/>
  <c r="R48" i="22" s="1"/>
  <c r="U48" i="22" s="1"/>
  <c r="H49" i="22"/>
  <c r="W48" i="22"/>
  <c r="M49" i="22" s="1"/>
  <c r="P48" i="22"/>
  <c r="S48" i="22" s="1"/>
  <c r="P49" i="22" l="1"/>
  <c r="S49" i="22" s="1"/>
  <c r="H50" i="22"/>
  <c r="W49" i="22"/>
  <c r="M50" i="22" s="1"/>
  <c r="L57" i="23"/>
  <c r="I58" i="23"/>
  <c r="K57" i="23"/>
  <c r="J57" i="23"/>
  <c r="N50" i="23"/>
  <c r="Q49" i="23"/>
  <c r="T49" i="23" s="1"/>
  <c r="Q48" i="22"/>
  <c r="T48" i="22" s="1"/>
  <c r="N49" i="22"/>
  <c r="O49" i="22"/>
  <c r="M49" i="23"/>
  <c r="P48" i="23"/>
  <c r="S48" i="23" s="1"/>
  <c r="H58" i="23"/>
  <c r="W57" i="23"/>
  <c r="O54" i="23"/>
  <c r="R53" i="23"/>
  <c r="U53" i="23" s="1"/>
  <c r="L51" i="22"/>
  <c r="I52" i="22"/>
  <c r="K51" i="22"/>
  <c r="J51" i="22"/>
  <c r="O50" i="22" l="1"/>
  <c r="H59" i="23"/>
  <c r="W58" i="23"/>
  <c r="J58" i="23"/>
  <c r="L58" i="23"/>
  <c r="I59" i="23"/>
  <c r="K58" i="23"/>
  <c r="N50" i="22"/>
  <c r="Q49" i="22"/>
  <c r="T49" i="22" s="1"/>
  <c r="H51" i="22"/>
  <c r="W50" i="22"/>
  <c r="M51" i="22" s="1"/>
  <c r="R50" i="22"/>
  <c r="U50" i="22" s="1"/>
  <c r="P50" i="22"/>
  <c r="S50" i="22" s="1"/>
  <c r="O55" i="23"/>
  <c r="R54" i="23"/>
  <c r="U54" i="23" s="1"/>
  <c r="M50" i="23"/>
  <c r="P49" i="23"/>
  <c r="S49" i="23" s="1"/>
  <c r="J52" i="22"/>
  <c r="L52" i="22"/>
  <c r="K52" i="22"/>
  <c r="I53" i="22"/>
  <c r="Q50" i="23"/>
  <c r="T50" i="23" s="1"/>
  <c r="N51" i="23"/>
  <c r="R49" i="22"/>
  <c r="U49" i="22" s="1"/>
  <c r="O51" i="22" l="1"/>
  <c r="R51" i="22" s="1"/>
  <c r="U51" i="22" s="1"/>
  <c r="P51" i="22"/>
  <c r="S51" i="22" s="1"/>
  <c r="W51" i="22"/>
  <c r="M52" i="22" s="1"/>
  <c r="H52" i="22"/>
  <c r="W59" i="23"/>
  <c r="H60" i="23"/>
  <c r="O56" i="23"/>
  <c r="R55" i="23"/>
  <c r="U55" i="23" s="1"/>
  <c r="L59" i="23"/>
  <c r="I60" i="23"/>
  <c r="K59" i="23"/>
  <c r="J59" i="23"/>
  <c r="M51" i="23"/>
  <c r="P50" i="23"/>
  <c r="S50" i="23" s="1"/>
  <c r="Q50" i="22"/>
  <c r="T50" i="22" s="1"/>
  <c r="N51" i="22"/>
  <c r="N52" i="23"/>
  <c r="Q51" i="23"/>
  <c r="T51" i="23" s="1"/>
  <c r="L53" i="22"/>
  <c r="I54" i="22"/>
  <c r="K53" i="22"/>
  <c r="J53" i="22"/>
  <c r="O52" i="22" l="1"/>
  <c r="M52" i="23"/>
  <c r="P51" i="23"/>
  <c r="S51" i="23" s="1"/>
  <c r="N52" i="22"/>
  <c r="Q51" i="22"/>
  <c r="T51" i="22" s="1"/>
  <c r="H53" i="22"/>
  <c r="W52" i="22"/>
  <c r="M53" i="22" s="1"/>
  <c r="R52" i="22"/>
  <c r="U52" i="22" s="1"/>
  <c r="P52" i="22"/>
  <c r="S52" i="22" s="1"/>
  <c r="H61" i="23"/>
  <c r="W60" i="23"/>
  <c r="Q52" i="23"/>
  <c r="T52" i="23" s="1"/>
  <c r="N53" i="23"/>
  <c r="O53" i="22"/>
  <c r="J54" i="22"/>
  <c r="I55" i="22"/>
  <c r="K54" i="22"/>
  <c r="L54" i="22"/>
  <c r="J60" i="23"/>
  <c r="L60" i="23"/>
  <c r="I61" i="23"/>
  <c r="K60" i="23"/>
  <c r="O57" i="23"/>
  <c r="R56" i="23"/>
  <c r="U56" i="23" s="1"/>
  <c r="M53" i="23" l="1"/>
  <c r="P52" i="23"/>
  <c r="S52" i="23" s="1"/>
  <c r="L61" i="23"/>
  <c r="K61" i="23"/>
  <c r="J61" i="23"/>
  <c r="N54" i="23"/>
  <c r="Q53" i="23"/>
  <c r="T53" i="23" s="1"/>
  <c r="Q52" i="22"/>
  <c r="T52" i="22" s="1"/>
  <c r="N53" i="22"/>
  <c r="L55" i="22"/>
  <c r="K55" i="22"/>
  <c r="I56" i="22"/>
  <c r="J55" i="22"/>
  <c r="W61" i="23"/>
  <c r="O58" i="23"/>
  <c r="R57" i="23"/>
  <c r="U57" i="23" s="1"/>
  <c r="P53" i="22"/>
  <c r="S53" i="22" s="1"/>
  <c r="H54" i="22"/>
  <c r="R53" i="22"/>
  <c r="U53" i="22" s="1"/>
  <c r="W53" i="22"/>
  <c r="O54" i="22" s="1"/>
  <c r="M54" i="22" l="1"/>
  <c r="H55" i="22"/>
  <c r="W54" i="22"/>
  <c r="O55" i="22" s="1"/>
  <c r="R54" i="22"/>
  <c r="U54" i="22" s="1"/>
  <c r="P54" i="22"/>
  <c r="S54" i="22" s="1"/>
  <c r="Q54" i="23"/>
  <c r="T54" i="23" s="1"/>
  <c r="N55" i="23"/>
  <c r="M54" i="23"/>
  <c r="P53" i="23"/>
  <c r="S53" i="23" s="1"/>
  <c r="O59" i="23"/>
  <c r="R58" i="23"/>
  <c r="U58" i="23" s="1"/>
  <c r="I57" i="22"/>
  <c r="K56" i="22"/>
  <c r="L56" i="22"/>
  <c r="J56" i="22"/>
  <c r="N54" i="22"/>
  <c r="Q53" i="22"/>
  <c r="T53" i="22" s="1"/>
  <c r="J57" i="22" l="1"/>
  <c r="K57" i="22"/>
  <c r="L57" i="22"/>
  <c r="I58" i="22"/>
  <c r="M55" i="23"/>
  <c r="P54" i="23"/>
  <c r="S54" i="23" s="1"/>
  <c r="O60" i="23"/>
  <c r="R59" i="23"/>
  <c r="U59" i="23" s="1"/>
  <c r="U66" i="23" s="1"/>
  <c r="R66" i="23" s="1"/>
  <c r="H57" i="16" s="1"/>
  <c r="N56" i="23"/>
  <c r="Q55" i="23"/>
  <c r="T55" i="23" s="1"/>
  <c r="M55" i="22"/>
  <c r="H56" i="22"/>
  <c r="W55" i="22"/>
  <c r="O56" i="22" s="1"/>
  <c r="R55" i="22"/>
  <c r="U55" i="22" s="1"/>
  <c r="Q54" i="22"/>
  <c r="T54" i="22" s="1"/>
  <c r="N55" i="22"/>
  <c r="M56" i="22" l="1"/>
  <c r="M56" i="23"/>
  <c r="P55" i="23"/>
  <c r="S55" i="23" s="1"/>
  <c r="P55" i="22"/>
  <c r="S55" i="22" s="1"/>
  <c r="I59" i="22"/>
  <c r="K58" i="22"/>
  <c r="L58" i="22"/>
  <c r="J58" i="22"/>
  <c r="Q55" i="22"/>
  <c r="T55" i="22" s="1"/>
  <c r="N56" i="22"/>
  <c r="W56" i="22"/>
  <c r="O57" i="22" s="1"/>
  <c r="H57" i="22"/>
  <c r="P56" i="22"/>
  <c r="S56" i="22" s="1"/>
  <c r="R56" i="22"/>
  <c r="U56" i="22" s="1"/>
  <c r="Q56" i="23"/>
  <c r="T56" i="23" s="1"/>
  <c r="N57" i="23"/>
  <c r="O61" i="23"/>
  <c r="R61" i="23" s="1"/>
  <c r="U61" i="23" s="1"/>
  <c r="R60" i="23"/>
  <c r="U60" i="23" s="1"/>
  <c r="I60" i="22" l="1"/>
  <c r="K59" i="22"/>
  <c r="J59" i="22"/>
  <c r="L59" i="22"/>
  <c r="H58" i="22"/>
  <c r="W57" i="22"/>
  <c r="O58" i="22" s="1"/>
  <c r="R57" i="22"/>
  <c r="U57" i="22" s="1"/>
  <c r="Q56" i="22"/>
  <c r="T56" i="22" s="1"/>
  <c r="N57" i="22"/>
  <c r="N58" i="23"/>
  <c r="Q57" i="23"/>
  <c r="T57" i="23" s="1"/>
  <c r="M57" i="23"/>
  <c r="P56" i="23"/>
  <c r="S56" i="23" s="1"/>
  <c r="M57" i="22"/>
  <c r="M58" i="22" s="1"/>
  <c r="M58" i="23" l="1"/>
  <c r="P57" i="23"/>
  <c r="S57" i="23" s="1"/>
  <c r="R58" i="22"/>
  <c r="U58" i="22" s="1"/>
  <c r="W58" i="22"/>
  <c r="O59" i="22" s="1"/>
  <c r="P58" i="22"/>
  <c r="S58" i="22" s="1"/>
  <c r="H59" i="22"/>
  <c r="P57" i="22"/>
  <c r="S57" i="22" s="1"/>
  <c r="I61" i="22"/>
  <c r="K60" i="22"/>
  <c r="J60" i="22"/>
  <c r="L60" i="22"/>
  <c r="M59" i="22"/>
  <c r="Q58" i="23"/>
  <c r="T58" i="23" s="1"/>
  <c r="N59" i="23"/>
  <c r="Q57" i="22"/>
  <c r="T57" i="22" s="1"/>
  <c r="N58" i="22"/>
  <c r="L61" i="22" l="1"/>
  <c r="K61" i="22"/>
  <c r="J61" i="22"/>
  <c r="N60" i="23"/>
  <c r="Q59" i="23"/>
  <c r="T59" i="23" s="1"/>
  <c r="T65" i="23" s="1"/>
  <c r="Q65" i="23" s="1"/>
  <c r="H56" i="16" s="1"/>
  <c r="M59" i="23"/>
  <c r="P58" i="23"/>
  <c r="S58" i="23" s="1"/>
  <c r="Q58" i="22"/>
  <c r="T58" i="22" s="1"/>
  <c r="N59" i="22"/>
  <c r="W59" i="22"/>
  <c r="O60" i="22" s="1"/>
  <c r="P59" i="22"/>
  <c r="S59" i="22" s="1"/>
  <c r="S64" i="22" s="1"/>
  <c r="P64" i="22" s="1"/>
  <c r="G55" i="16" s="1"/>
  <c r="H60" i="22"/>
  <c r="R59" i="22"/>
  <c r="U59" i="22" s="1"/>
  <c r="U66" i="22" s="1"/>
  <c r="R66" i="22" s="1"/>
  <c r="G57" i="16" s="1"/>
  <c r="M60" i="22" l="1"/>
  <c r="Q59" i="22"/>
  <c r="T59" i="22" s="1"/>
  <c r="T65" i="22" s="1"/>
  <c r="Q65" i="22" s="1"/>
  <c r="G56" i="16" s="1"/>
  <c r="N60" i="22"/>
  <c r="Q60" i="23"/>
  <c r="T60" i="23" s="1"/>
  <c r="N61" i="23"/>
  <c r="Q61" i="23" s="1"/>
  <c r="T61" i="23" s="1"/>
  <c r="R60" i="22"/>
  <c r="U60" i="22" s="1"/>
  <c r="H61" i="22"/>
  <c r="W60" i="22"/>
  <c r="O61" i="22" s="1"/>
  <c r="P60" i="22"/>
  <c r="S60" i="22" s="1"/>
  <c r="M60" i="23"/>
  <c r="P59" i="23"/>
  <c r="S59" i="23" s="1"/>
  <c r="S64" i="23" s="1"/>
  <c r="P64" i="23" s="1"/>
  <c r="H55" i="16" s="1"/>
  <c r="M61" i="23" l="1"/>
  <c r="P61" i="23" s="1"/>
  <c r="S61" i="23" s="1"/>
  <c r="P60" i="23"/>
  <c r="S60" i="23" s="1"/>
  <c r="N61" i="22"/>
  <c r="Q61" i="22" s="1"/>
  <c r="T61" i="22" s="1"/>
  <c r="Q60" i="22"/>
  <c r="T60" i="22" s="1"/>
  <c r="R61" i="22"/>
  <c r="U61" i="22" s="1"/>
  <c r="W61" i="22"/>
  <c r="M61" i="22"/>
  <c r="P61" i="22" s="1"/>
  <c r="S61" i="22" s="1"/>
  <c r="J25" i="16" l="1"/>
  <c r="I19" i="18" l="1"/>
  <c r="J4" i="18"/>
  <c r="H12" i="18" s="1"/>
  <c r="J3" i="18"/>
  <c r="H11" i="18" s="1"/>
  <c r="J2" i="18"/>
  <c r="H10" i="18" s="1"/>
  <c r="J4" i="17"/>
  <c r="H12" i="17" s="1"/>
  <c r="J3" i="17"/>
  <c r="H11" i="17" s="1"/>
  <c r="J2" i="17"/>
  <c r="H10" i="17" s="1"/>
  <c r="D2" i="18"/>
  <c r="E11" i="18" s="1"/>
  <c r="I10" i="18"/>
  <c r="J10" i="18" s="1"/>
  <c r="I12" i="18"/>
  <c r="I11" i="18"/>
  <c r="K11" i="18" s="1"/>
  <c r="Q11" i="18" s="1"/>
  <c r="T11" i="18" s="1"/>
  <c r="D2" i="17"/>
  <c r="E13" i="17" s="1"/>
  <c r="E14" i="17" s="1"/>
  <c r="E15" i="17" s="1"/>
  <c r="E16" i="17" s="1"/>
  <c r="E17" i="17" s="1"/>
  <c r="E18" i="17" s="1"/>
  <c r="E19" i="17" s="1"/>
  <c r="E20" i="17" s="1"/>
  <c r="E21" i="17" s="1"/>
  <c r="E22" i="17" s="1"/>
  <c r="E23" i="17" s="1"/>
  <c r="E24" i="17" s="1"/>
  <c r="E25" i="17" s="1"/>
  <c r="E26" i="17" s="1"/>
  <c r="E27" i="17" s="1"/>
  <c r="E28" i="17" s="1"/>
  <c r="E29" i="17" s="1"/>
  <c r="E30" i="17" s="1"/>
  <c r="E31" i="17" s="1"/>
  <c r="E32" i="17" s="1"/>
  <c r="E33" i="17" s="1"/>
  <c r="E34" i="17" s="1"/>
  <c r="E35" i="17" s="1"/>
  <c r="E36" i="17" s="1"/>
  <c r="E37" i="17" s="1"/>
  <c r="E38" i="17" s="1"/>
  <c r="E39" i="17" s="1"/>
  <c r="E40" i="17" s="1"/>
  <c r="E41" i="17" s="1"/>
  <c r="E42" i="17" s="1"/>
  <c r="E43" i="17" s="1"/>
  <c r="E44" i="17" s="1"/>
  <c r="E45" i="17" s="1"/>
  <c r="E46" i="17" s="1"/>
  <c r="E47" i="17" s="1"/>
  <c r="E48" i="17" s="1"/>
  <c r="E49" i="17" s="1"/>
  <c r="E50" i="17" s="1"/>
  <c r="E51" i="17" s="1"/>
  <c r="E52" i="17" s="1"/>
  <c r="E53" i="17" s="1"/>
  <c r="E54" i="17" s="1"/>
  <c r="E55" i="17" s="1"/>
  <c r="E56" i="17" s="1"/>
  <c r="E57" i="17" s="1"/>
  <c r="E58" i="17" s="1"/>
  <c r="E59" i="17" s="1"/>
  <c r="E60" i="17" s="1"/>
  <c r="E61" i="17" s="1"/>
  <c r="I10" i="17"/>
  <c r="J10" i="17" s="1"/>
  <c r="I12" i="17"/>
  <c r="I11" i="17"/>
  <c r="P34" i="16"/>
  <c r="P33" i="16"/>
  <c r="P32" i="16"/>
  <c r="P40" i="16"/>
  <c r="P39" i="16"/>
  <c r="P38" i="16"/>
  <c r="P46" i="16"/>
  <c r="P45" i="16"/>
  <c r="P44" i="16"/>
  <c r="J46" i="16"/>
  <c r="J45" i="16"/>
  <c r="J44" i="16"/>
  <c r="J40" i="16"/>
  <c r="J39" i="16"/>
  <c r="J38" i="16"/>
  <c r="J34" i="16"/>
  <c r="J33" i="16"/>
  <c r="J32" i="16"/>
  <c r="J24" i="16"/>
  <c r="J23" i="16"/>
  <c r="Z85" i="8"/>
  <c r="AF85" i="8" s="1"/>
  <c r="W10" i="18" l="1"/>
  <c r="M11" i="18" s="1"/>
  <c r="P10" i="18"/>
  <c r="S10" i="18" s="1"/>
  <c r="W10" i="17"/>
  <c r="M11" i="17" s="1"/>
  <c r="P10" i="17"/>
  <c r="S10" i="17" s="1"/>
  <c r="W11" i="18"/>
  <c r="N12" i="18" s="1"/>
  <c r="W11" i="17"/>
  <c r="N12" i="17" s="1"/>
  <c r="W12" i="18"/>
  <c r="O13" i="18" s="1"/>
  <c r="R12" i="17"/>
  <c r="U12" i="17" s="1"/>
  <c r="W12" i="17"/>
  <c r="O13" i="17" s="1"/>
  <c r="G13" i="17"/>
  <c r="G14" i="17" s="1"/>
  <c r="G15" i="17" s="1"/>
  <c r="G16" i="17" s="1"/>
  <c r="G17" i="17" s="1"/>
  <c r="G18" i="17" s="1"/>
  <c r="G19" i="17" s="1"/>
  <c r="G20" i="17" s="1"/>
  <c r="G21" i="17" s="1"/>
  <c r="G22" i="17" s="1"/>
  <c r="G23" i="17" s="1"/>
  <c r="G24" i="17" s="1"/>
  <c r="G25" i="17" s="1"/>
  <c r="G26" i="17" s="1"/>
  <c r="G27" i="17" s="1"/>
  <c r="G28" i="17" s="1"/>
  <c r="G29" i="17" s="1"/>
  <c r="G30" i="17" s="1"/>
  <c r="G31" i="17" s="1"/>
  <c r="G32" i="17" s="1"/>
  <c r="G33" i="17" s="1"/>
  <c r="G34" i="17" s="1"/>
  <c r="G35" i="17" s="1"/>
  <c r="G36" i="17" s="1"/>
  <c r="G37" i="17" s="1"/>
  <c r="G38" i="17" s="1"/>
  <c r="G39" i="17" s="1"/>
  <c r="G40" i="17" s="1"/>
  <c r="G41" i="17" s="1"/>
  <c r="G42" i="17" s="1"/>
  <c r="G43" i="17" s="1"/>
  <c r="G44" i="17" s="1"/>
  <c r="G45" i="17" s="1"/>
  <c r="G46" i="17" s="1"/>
  <c r="G47" i="17" s="1"/>
  <c r="G48" i="17" s="1"/>
  <c r="G49" i="17" s="1"/>
  <c r="G50" i="17" s="1"/>
  <c r="G51" i="17" s="1"/>
  <c r="G52" i="17" s="1"/>
  <c r="G53" i="17" s="1"/>
  <c r="G54" i="17" s="1"/>
  <c r="G55" i="17" s="1"/>
  <c r="G56" i="17" s="1"/>
  <c r="G57" i="17" s="1"/>
  <c r="G58" i="17" s="1"/>
  <c r="G59" i="17" s="1"/>
  <c r="G60" i="17" s="1"/>
  <c r="G61" i="17" s="1"/>
  <c r="F13" i="18"/>
  <c r="F14" i="18" s="1"/>
  <c r="F15" i="18" s="1"/>
  <c r="F16" i="18" s="1"/>
  <c r="F17" i="18" s="1"/>
  <c r="F18" i="18" s="1"/>
  <c r="F19" i="18" s="1"/>
  <c r="F20" i="18" s="1"/>
  <c r="F21" i="18" s="1"/>
  <c r="F22" i="18" s="1"/>
  <c r="F23" i="18" s="1"/>
  <c r="F24"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E12" i="18"/>
  <c r="J12" i="18" s="1"/>
  <c r="E13" i="18"/>
  <c r="E14" i="18" s="1"/>
  <c r="E15" i="18" s="1"/>
  <c r="E16" i="18" s="1"/>
  <c r="E17" i="18" s="1"/>
  <c r="E18" i="18" s="1"/>
  <c r="E19" i="18" s="1"/>
  <c r="E20" i="18" s="1"/>
  <c r="E21" i="18" s="1"/>
  <c r="E22" i="18" s="1"/>
  <c r="E23" i="18" s="1"/>
  <c r="E24" i="18" s="1"/>
  <c r="E25" i="18" s="1"/>
  <c r="E26" i="18" s="1"/>
  <c r="E27" i="18" s="1"/>
  <c r="E28" i="18" s="1"/>
  <c r="E29" i="18" s="1"/>
  <c r="E30" i="18" s="1"/>
  <c r="E31" i="18" s="1"/>
  <c r="E32" i="18" s="1"/>
  <c r="E33" i="18" s="1"/>
  <c r="E34" i="18" s="1"/>
  <c r="E35" i="18" s="1"/>
  <c r="E36" i="18" s="1"/>
  <c r="E37" i="18" s="1"/>
  <c r="E38" i="18" s="1"/>
  <c r="E39" i="18" s="1"/>
  <c r="E40" i="18" s="1"/>
  <c r="E41" i="18" s="1"/>
  <c r="E42" i="18" s="1"/>
  <c r="E43" i="18" s="1"/>
  <c r="E44" i="18" s="1"/>
  <c r="E45" i="18" s="1"/>
  <c r="E46" i="18" s="1"/>
  <c r="E47" i="18" s="1"/>
  <c r="E48" i="18" s="1"/>
  <c r="E49" i="18" s="1"/>
  <c r="E50" i="18" s="1"/>
  <c r="E51" i="18" s="1"/>
  <c r="E52" i="18" s="1"/>
  <c r="E53" i="18" s="1"/>
  <c r="E54" i="18" s="1"/>
  <c r="E55" i="18" s="1"/>
  <c r="E56" i="18" s="1"/>
  <c r="E57" i="18" s="1"/>
  <c r="E58" i="18" s="1"/>
  <c r="E59" i="18" s="1"/>
  <c r="E60" i="18" s="1"/>
  <c r="E61" i="18" s="1"/>
  <c r="AC85" i="8"/>
  <c r="AD85" i="8"/>
  <c r="AA85" i="8"/>
  <c r="AE85" i="8"/>
  <c r="AB85" i="8"/>
  <c r="H19" i="18"/>
  <c r="H13" i="18" s="1"/>
  <c r="L12" i="18"/>
  <c r="R12" i="18" s="1"/>
  <c r="U12" i="18" s="1"/>
  <c r="J11" i="18"/>
  <c r="P11" i="18" s="1"/>
  <c r="S11" i="18" s="1"/>
  <c r="G13" i="18"/>
  <c r="G14" i="18" s="1"/>
  <c r="G15" i="18" s="1"/>
  <c r="G16" i="18" s="1"/>
  <c r="G17" i="18" s="1"/>
  <c r="G18" i="18" s="1"/>
  <c r="G19" i="18" s="1"/>
  <c r="G20" i="18" s="1"/>
  <c r="G21" i="18" s="1"/>
  <c r="G22" i="18" s="1"/>
  <c r="G23" i="18" s="1"/>
  <c r="G24" i="18" s="1"/>
  <c r="G25" i="18" s="1"/>
  <c r="G26" i="18" s="1"/>
  <c r="G27" i="18" s="1"/>
  <c r="G28" i="18" s="1"/>
  <c r="G29" i="18" s="1"/>
  <c r="G30" i="18" s="1"/>
  <c r="G31" i="18" s="1"/>
  <c r="G32" i="18" s="1"/>
  <c r="G33" i="18" s="1"/>
  <c r="G34" i="18" s="1"/>
  <c r="G35" i="18" s="1"/>
  <c r="G36" i="18" s="1"/>
  <c r="G37" i="18" s="1"/>
  <c r="G38" i="18" s="1"/>
  <c r="G39" i="18" s="1"/>
  <c r="G40" i="18" s="1"/>
  <c r="G41" i="18" s="1"/>
  <c r="G42" i="18" s="1"/>
  <c r="G43" i="18" s="1"/>
  <c r="G44" i="18" s="1"/>
  <c r="G45" i="18" s="1"/>
  <c r="G46" i="18" s="1"/>
  <c r="G47" i="18" s="1"/>
  <c r="G48" i="18" s="1"/>
  <c r="G49" i="18" s="1"/>
  <c r="G50" i="18" s="1"/>
  <c r="G51" i="18" s="1"/>
  <c r="G52" i="18" s="1"/>
  <c r="G53" i="18" s="1"/>
  <c r="G54" i="18" s="1"/>
  <c r="G55" i="18" s="1"/>
  <c r="G56" i="18" s="1"/>
  <c r="G57" i="18" s="1"/>
  <c r="G58" i="18" s="1"/>
  <c r="G59" i="18" s="1"/>
  <c r="G60" i="18" s="1"/>
  <c r="G61" i="18" s="1"/>
  <c r="I13" i="18"/>
  <c r="F12" i="18"/>
  <c r="K12" i="18" s="1"/>
  <c r="I20" i="18"/>
  <c r="K11" i="17"/>
  <c r="Q11" i="17" s="1"/>
  <c r="T11" i="17" s="1"/>
  <c r="H13" i="17"/>
  <c r="F13" i="17"/>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12" i="17"/>
  <c r="K12" i="17" s="1"/>
  <c r="E11" i="17"/>
  <c r="J11" i="17" s="1"/>
  <c r="P11" i="17" s="1"/>
  <c r="S11" i="17" s="1"/>
  <c r="L12" i="17"/>
  <c r="I13" i="17"/>
  <c r="E12" i="17"/>
  <c r="J12" i="17" s="1"/>
  <c r="W48" i="15"/>
  <c r="V48" i="15"/>
  <c r="U48" i="15"/>
  <c r="T48" i="15"/>
  <c r="S48" i="15"/>
  <c r="W47" i="15"/>
  <c r="V47" i="15"/>
  <c r="U47" i="15"/>
  <c r="T47" i="15"/>
  <c r="S47" i="15"/>
  <c r="W46" i="15"/>
  <c r="V46" i="15"/>
  <c r="U46" i="15"/>
  <c r="T46" i="15"/>
  <c r="S46" i="15"/>
  <c r="W45" i="15"/>
  <c r="V45" i="15"/>
  <c r="U45" i="15"/>
  <c r="T45" i="15"/>
  <c r="S45" i="15"/>
  <c r="W44" i="15"/>
  <c r="V44" i="15"/>
  <c r="U44" i="15"/>
  <c r="T44" i="15"/>
  <c r="S44" i="15"/>
  <c r="W43" i="15"/>
  <c r="V43" i="15"/>
  <c r="U43" i="15"/>
  <c r="T43" i="15"/>
  <c r="S43" i="15"/>
  <c r="W42" i="15"/>
  <c r="V42" i="15"/>
  <c r="U42" i="15"/>
  <c r="T42" i="15"/>
  <c r="S42" i="15"/>
  <c r="W41" i="15"/>
  <c r="V41" i="15"/>
  <c r="U41" i="15"/>
  <c r="T41" i="15"/>
  <c r="S41" i="15"/>
  <c r="W40" i="15"/>
  <c r="V40" i="15"/>
  <c r="U40" i="15"/>
  <c r="T40" i="15"/>
  <c r="S40" i="15"/>
  <c r="W39" i="15"/>
  <c r="V39" i="15"/>
  <c r="U39" i="15"/>
  <c r="T39" i="15"/>
  <c r="S39" i="15"/>
  <c r="W38" i="15"/>
  <c r="V38" i="15"/>
  <c r="U38" i="15"/>
  <c r="T38" i="15"/>
  <c r="S38" i="15"/>
  <c r="W37" i="15"/>
  <c r="V37" i="15"/>
  <c r="U37" i="15"/>
  <c r="T37" i="15"/>
  <c r="S37" i="15"/>
  <c r="W36" i="15"/>
  <c r="V36" i="15"/>
  <c r="U36" i="15"/>
  <c r="T36" i="15"/>
  <c r="S36" i="15"/>
  <c r="W35" i="15"/>
  <c r="V35" i="15"/>
  <c r="U35" i="15"/>
  <c r="T35" i="15"/>
  <c r="S35" i="15"/>
  <c r="W34" i="15"/>
  <c r="V34" i="15"/>
  <c r="U34" i="15"/>
  <c r="T34" i="15"/>
  <c r="S34" i="15"/>
  <c r="W33" i="15"/>
  <c r="V33" i="15"/>
  <c r="U33" i="15"/>
  <c r="T33" i="15"/>
  <c r="S33" i="15"/>
  <c r="P48" i="15"/>
  <c r="O48" i="15"/>
  <c r="N48" i="15"/>
  <c r="M48" i="15"/>
  <c r="L48" i="15"/>
  <c r="P47" i="15"/>
  <c r="O47" i="15"/>
  <c r="N47" i="15"/>
  <c r="M47" i="15"/>
  <c r="L47" i="15"/>
  <c r="P46" i="15"/>
  <c r="O46" i="15"/>
  <c r="N46" i="15"/>
  <c r="M46" i="15"/>
  <c r="L46" i="15"/>
  <c r="P45" i="15"/>
  <c r="O45" i="15"/>
  <c r="N45" i="15"/>
  <c r="M45" i="15"/>
  <c r="L45" i="15"/>
  <c r="P44" i="15"/>
  <c r="O44" i="15"/>
  <c r="N44" i="15"/>
  <c r="M44" i="15"/>
  <c r="L44" i="15"/>
  <c r="P43" i="15"/>
  <c r="O43" i="15"/>
  <c r="N43" i="15"/>
  <c r="M43" i="15"/>
  <c r="L43" i="15"/>
  <c r="P42" i="15"/>
  <c r="O42" i="15"/>
  <c r="N42" i="15"/>
  <c r="M42" i="15"/>
  <c r="L42" i="15"/>
  <c r="P41" i="15"/>
  <c r="O41" i="15"/>
  <c r="N41" i="15"/>
  <c r="M41" i="15"/>
  <c r="L41" i="15"/>
  <c r="P40" i="15"/>
  <c r="O40" i="15"/>
  <c r="N40" i="15"/>
  <c r="M40" i="15"/>
  <c r="L40" i="15"/>
  <c r="P39" i="15"/>
  <c r="O39" i="15"/>
  <c r="N39" i="15"/>
  <c r="M39" i="15"/>
  <c r="L39" i="15"/>
  <c r="P38" i="15"/>
  <c r="O38" i="15"/>
  <c r="N38" i="15"/>
  <c r="M38" i="15"/>
  <c r="L38" i="15"/>
  <c r="P37" i="15"/>
  <c r="O37" i="15"/>
  <c r="N37" i="15"/>
  <c r="M37" i="15"/>
  <c r="L37" i="15"/>
  <c r="P36" i="15"/>
  <c r="O36" i="15"/>
  <c r="N36" i="15"/>
  <c r="M36" i="15"/>
  <c r="L36" i="15"/>
  <c r="P35" i="15"/>
  <c r="O35" i="15"/>
  <c r="N35" i="15"/>
  <c r="M35" i="15"/>
  <c r="L35" i="15"/>
  <c r="P34" i="15"/>
  <c r="O34" i="15"/>
  <c r="N34" i="15"/>
  <c r="M34" i="15"/>
  <c r="L34" i="15"/>
  <c r="P33" i="15"/>
  <c r="O33" i="15"/>
  <c r="N33" i="15"/>
  <c r="M33" i="15"/>
  <c r="L33" i="15"/>
  <c r="F10" i="15"/>
  <c r="E10" i="15"/>
  <c r="D4" i="15" a="1"/>
  <c r="D4" i="15" s="1"/>
  <c r="H14" i="18" l="1"/>
  <c r="H15" i="18" s="1"/>
  <c r="W13" i="18"/>
  <c r="P12" i="17"/>
  <c r="S12" i="17" s="1"/>
  <c r="Q12" i="17"/>
  <c r="T12" i="17" s="1"/>
  <c r="N13" i="17"/>
  <c r="M12" i="17"/>
  <c r="M13" i="17" s="1"/>
  <c r="W13" i="17"/>
  <c r="F9" i="16" a="1"/>
  <c r="N13" i="18"/>
  <c r="Q12" i="18"/>
  <c r="T12" i="18" s="1"/>
  <c r="M12" i="18"/>
  <c r="J19" i="18"/>
  <c r="K19" i="18"/>
  <c r="W19" i="18"/>
  <c r="H20" i="18"/>
  <c r="L19" i="18"/>
  <c r="W15" i="18"/>
  <c r="H16" i="18"/>
  <c r="W14" i="18"/>
  <c r="J20" i="18"/>
  <c r="I21" i="18"/>
  <c r="L20" i="18"/>
  <c r="K20" i="18"/>
  <c r="L13" i="18"/>
  <c r="R13" i="18" s="1"/>
  <c r="U13" i="18" s="1"/>
  <c r="J13" i="18"/>
  <c r="I14" i="18"/>
  <c r="K13" i="18"/>
  <c r="O14" i="18"/>
  <c r="H14" i="17"/>
  <c r="O14" i="17"/>
  <c r="J13" i="17"/>
  <c r="K13" i="17"/>
  <c r="I14" i="17"/>
  <c r="L13" i="17"/>
  <c r="R13" i="17" s="1"/>
  <c r="U13" i="17" s="1"/>
  <c r="D6" i="15"/>
  <c r="F4" i="15"/>
  <c r="F5" i="15"/>
  <c r="E4" i="15"/>
  <c r="E6" i="15"/>
  <c r="D5" i="15"/>
  <c r="F6" i="15"/>
  <c r="E5" i="15"/>
  <c r="K9" i="16" l="1"/>
  <c r="I9" i="16"/>
  <c r="M13" i="18"/>
  <c r="P13" i="18" s="1"/>
  <c r="S13" i="18" s="1"/>
  <c r="P12" i="18"/>
  <c r="S12" i="18" s="1"/>
  <c r="F9" i="16"/>
  <c r="J9" i="16"/>
  <c r="H9" i="16"/>
  <c r="G9" i="16"/>
  <c r="P13" i="17"/>
  <c r="S13" i="17" s="1"/>
  <c r="Q13" i="18"/>
  <c r="T13" i="18" s="1"/>
  <c r="Q13" i="17"/>
  <c r="T13" i="17" s="1"/>
  <c r="W20" i="18"/>
  <c r="H21" i="18"/>
  <c r="O15" i="18"/>
  <c r="O16" i="18" s="1"/>
  <c r="N14" i="18"/>
  <c r="J14" i="18"/>
  <c r="L14" i="18"/>
  <c r="R14" i="18" s="1"/>
  <c r="U14" i="18" s="1"/>
  <c r="K14" i="18"/>
  <c r="I15" i="18"/>
  <c r="W16" i="18"/>
  <c r="H17" i="18"/>
  <c r="I22" i="18"/>
  <c r="K21" i="18"/>
  <c r="L21" i="18"/>
  <c r="J21" i="18"/>
  <c r="M14" i="17"/>
  <c r="L14" i="17"/>
  <c r="R14" i="17" s="1"/>
  <c r="U14" i="17" s="1"/>
  <c r="I15" i="17"/>
  <c r="K14" i="17"/>
  <c r="J14" i="17"/>
  <c r="W14" i="17"/>
  <c r="O15" i="17" s="1"/>
  <c r="H15" i="17"/>
  <c r="N14" i="17"/>
  <c r="C19" i="15" a="1"/>
  <c r="E19" i="15" s="1"/>
  <c r="C19" i="15"/>
  <c r="G5" i="15"/>
  <c r="F19" i="15" a="1"/>
  <c r="G19" i="15" s="1"/>
  <c r="D19" i="15"/>
  <c r="G4" i="15"/>
  <c r="G6" i="15"/>
  <c r="E10" i="14"/>
  <c r="E11" i="14" s="1"/>
  <c r="E12" i="14" s="1"/>
  <c r="E13" i="14" s="1"/>
  <c r="E14" i="14" s="1"/>
  <c r="E15" i="14" s="1"/>
  <c r="E16" i="14" s="1"/>
  <c r="D10" i="14"/>
  <c r="D11" i="14" s="1"/>
  <c r="C10" i="14"/>
  <c r="C11" i="14" s="1"/>
  <c r="C12" i="14" s="1"/>
  <c r="W12" i="14" s="1"/>
  <c r="K64" i="14"/>
  <c r="K63" i="14"/>
  <c r="K62" i="14"/>
  <c r="K61" i="14"/>
  <c r="K60" i="14"/>
  <c r="K59" i="14"/>
  <c r="K58" i="14"/>
  <c r="K57" i="14"/>
  <c r="K56" i="14"/>
  <c r="K55" i="14"/>
  <c r="K54" i="14"/>
  <c r="K53" i="14"/>
  <c r="K52" i="14"/>
  <c r="K51" i="14"/>
  <c r="K50" i="14"/>
  <c r="P49" i="14"/>
  <c r="P50" i="14" s="1"/>
  <c r="K49" i="14"/>
  <c r="B6" i="14"/>
  <c r="B5" i="14"/>
  <c r="H11" i="14" s="1"/>
  <c r="E10" i="13"/>
  <c r="D10" i="13"/>
  <c r="D11" i="13" s="1"/>
  <c r="C10" i="13"/>
  <c r="C11" i="13" s="1"/>
  <c r="C12" i="13" s="1"/>
  <c r="W12" i="13" s="1"/>
  <c r="K64" i="13"/>
  <c r="K63" i="13"/>
  <c r="K62" i="13"/>
  <c r="K61" i="13"/>
  <c r="K60" i="13"/>
  <c r="K59" i="13"/>
  <c r="K58" i="13"/>
  <c r="K57" i="13"/>
  <c r="K56" i="13"/>
  <c r="K55" i="13"/>
  <c r="K54" i="13"/>
  <c r="K53" i="13"/>
  <c r="K52" i="13"/>
  <c r="K51" i="13"/>
  <c r="K50" i="13"/>
  <c r="P49" i="13"/>
  <c r="P50" i="13" s="1"/>
  <c r="K49" i="13"/>
  <c r="B6" i="13"/>
  <c r="B5" i="13"/>
  <c r="H11" i="13" s="1"/>
  <c r="I2" i="13" l="1"/>
  <c r="I2" i="14"/>
  <c r="H22" i="18"/>
  <c r="W21" i="18"/>
  <c r="M15" i="17"/>
  <c r="J22" i="18"/>
  <c r="I23" i="18"/>
  <c r="L22" i="18"/>
  <c r="K22" i="18"/>
  <c r="L15" i="18"/>
  <c r="R15" i="18" s="1"/>
  <c r="U15" i="18" s="1"/>
  <c r="I16" i="18"/>
  <c r="J15" i="18"/>
  <c r="K15" i="18"/>
  <c r="Q14" i="18"/>
  <c r="T14" i="18" s="1"/>
  <c r="N15" i="18"/>
  <c r="W17" i="18"/>
  <c r="H18" i="18"/>
  <c r="M14" i="18"/>
  <c r="M15" i="18" s="1"/>
  <c r="M16" i="18" s="1"/>
  <c r="M17" i="18" s="1"/>
  <c r="O17" i="18"/>
  <c r="P14" i="17"/>
  <c r="S14" i="17" s="1"/>
  <c r="N15" i="17"/>
  <c r="Q14" i="17"/>
  <c r="T14" i="17" s="1"/>
  <c r="H16" i="17"/>
  <c r="W15" i="17"/>
  <c r="J15" i="17"/>
  <c r="K15" i="17"/>
  <c r="I16" i="17"/>
  <c r="L15" i="17"/>
  <c r="R15" i="17" s="1"/>
  <c r="U15" i="17" s="1"/>
  <c r="H10" i="13"/>
  <c r="F10" i="14"/>
  <c r="G11" i="13"/>
  <c r="H10" i="14"/>
  <c r="G11" i="14"/>
  <c r="H19" i="15"/>
  <c r="F19" i="15"/>
  <c r="F10" i="13"/>
  <c r="E11" i="13"/>
  <c r="E12" i="13" s="1"/>
  <c r="E13" i="13" s="1"/>
  <c r="E14" i="13" s="1"/>
  <c r="E15" i="13" s="1"/>
  <c r="E16" i="13" s="1"/>
  <c r="Q10" i="13"/>
  <c r="Q10" i="14"/>
  <c r="D12" i="14"/>
  <c r="D13" i="14" s="1"/>
  <c r="D14" i="14" s="1"/>
  <c r="D15" i="14" s="1"/>
  <c r="D16" i="14" s="1"/>
  <c r="C13" i="14"/>
  <c r="W13" i="14" s="1"/>
  <c r="V12" i="14"/>
  <c r="Q11" i="14"/>
  <c r="G10" i="14"/>
  <c r="F11" i="14"/>
  <c r="P51" i="14"/>
  <c r="D12" i="13"/>
  <c r="D13" i="13" s="1"/>
  <c r="D14" i="13" s="1"/>
  <c r="D15" i="13" s="1"/>
  <c r="D16" i="13" s="1"/>
  <c r="C13" i="13"/>
  <c r="W13" i="13" s="1"/>
  <c r="V12" i="13"/>
  <c r="G10" i="13"/>
  <c r="F11" i="13"/>
  <c r="P51" i="13"/>
  <c r="D2" i="12"/>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D2" i="1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Q11" i="13" l="1"/>
  <c r="K11" i="14"/>
  <c r="L11" i="14" s="1"/>
  <c r="N11" i="14" s="1"/>
  <c r="P11" i="14" s="1"/>
  <c r="K11" i="13"/>
  <c r="L11" i="13" s="1"/>
  <c r="N11" i="13" s="1"/>
  <c r="P11" i="13" s="1"/>
  <c r="S11" i="13"/>
  <c r="U11" i="13" s="1"/>
  <c r="R10" i="13"/>
  <c r="T10" i="13" s="1"/>
  <c r="H23" i="18"/>
  <c r="W22" i="18"/>
  <c r="P15" i="17"/>
  <c r="S15" i="17" s="1"/>
  <c r="M16" i="17"/>
  <c r="P15" i="18"/>
  <c r="S15" i="18" s="1"/>
  <c r="M18" i="18"/>
  <c r="N16" i="18"/>
  <c r="Q15" i="18"/>
  <c r="T15" i="18" s="1"/>
  <c r="J16" i="18"/>
  <c r="P16" i="18" s="1"/>
  <c r="S16" i="18" s="1"/>
  <c r="L16" i="18"/>
  <c r="R16" i="18" s="1"/>
  <c r="U16" i="18" s="1"/>
  <c r="K16" i="18"/>
  <c r="I17" i="18"/>
  <c r="I24" i="18"/>
  <c r="K23" i="18"/>
  <c r="L23" i="18"/>
  <c r="J23" i="18"/>
  <c r="P14" i="18"/>
  <c r="S14" i="18" s="1"/>
  <c r="W18" i="18"/>
  <c r="O18" i="18"/>
  <c r="N16" i="17"/>
  <c r="Q15" i="17"/>
  <c r="T15" i="17" s="1"/>
  <c r="L16" i="17"/>
  <c r="I17" i="17"/>
  <c r="K16" i="17"/>
  <c r="J16" i="17"/>
  <c r="O16" i="17"/>
  <c r="H17" i="17"/>
  <c r="W16" i="17"/>
  <c r="I10" i="14"/>
  <c r="J10" i="14" s="1"/>
  <c r="M10" i="14" s="1"/>
  <c r="O10" i="14" s="1"/>
  <c r="S11" i="14"/>
  <c r="U11" i="14" s="1"/>
  <c r="W11" i="14" s="1"/>
  <c r="I10" i="13"/>
  <c r="J10" i="13" s="1"/>
  <c r="M10" i="13" s="1"/>
  <c r="O10" i="13" s="1"/>
  <c r="R10" i="14"/>
  <c r="T10" i="14" s="1"/>
  <c r="C28" i="15" a="1"/>
  <c r="F28" i="15" s="1"/>
  <c r="S10" i="14"/>
  <c r="U10" i="14" s="1"/>
  <c r="K10" i="14"/>
  <c r="L10" i="14" s="1"/>
  <c r="N10" i="14" s="1"/>
  <c r="P10" i="14" s="1"/>
  <c r="V13" i="14"/>
  <c r="C14" i="14"/>
  <c r="W14" i="14" s="1"/>
  <c r="R11" i="14"/>
  <c r="T11" i="14" s="1"/>
  <c r="I11" i="14"/>
  <c r="J11" i="14" s="1"/>
  <c r="M11" i="14" s="1"/>
  <c r="O11" i="14" s="1"/>
  <c r="P52" i="14"/>
  <c r="V13" i="13"/>
  <c r="C14" i="13"/>
  <c r="W14" i="13" s="1"/>
  <c r="S10" i="13"/>
  <c r="U10" i="13" s="1"/>
  <c r="K10" i="13"/>
  <c r="L10" i="13" s="1"/>
  <c r="N10" i="13" s="1"/>
  <c r="P10" i="13" s="1"/>
  <c r="P52" i="13"/>
  <c r="P53" i="13"/>
  <c r="R11" i="13"/>
  <c r="T11" i="13" s="1"/>
  <c r="I11" i="13"/>
  <c r="J11" i="13" s="1"/>
  <c r="M11" i="13" s="1"/>
  <c r="O11" i="13" s="1"/>
  <c r="E12" i="11"/>
  <c r="E13" i="1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E49" i="11" s="1"/>
  <c r="E50" i="11" s="1"/>
  <c r="E51" i="11" s="1"/>
  <c r="E52" i="11" s="1"/>
  <c r="E53" i="11" s="1"/>
  <c r="E54" i="11" s="1"/>
  <c r="E55" i="11" s="1"/>
  <c r="E56" i="11" s="1"/>
  <c r="E57" i="11" s="1"/>
  <c r="E58" i="11" s="1"/>
  <c r="E59" i="11" s="1"/>
  <c r="E60" i="11" s="1"/>
  <c r="E61" i="11" s="1"/>
  <c r="G13" i="12"/>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E11" i="11"/>
  <c r="F12" i="11"/>
  <c r="F13" i="1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E12" i="12"/>
  <c r="F13" i="12"/>
  <c r="F14" i="12" s="1"/>
  <c r="F15" i="12" s="1"/>
  <c r="F16" i="12" s="1"/>
  <c r="F17" i="12" s="1"/>
  <c r="F18" i="12" s="1"/>
  <c r="F19" i="12" s="1"/>
  <c r="F12" i="12"/>
  <c r="E11" i="12"/>
  <c r="V10" i="13" l="1"/>
  <c r="W11" i="13"/>
  <c r="V10" i="14"/>
  <c r="H24" i="18"/>
  <c r="W23" i="18"/>
  <c r="P16" i="17"/>
  <c r="S16" i="17" s="1"/>
  <c r="M17" i="17"/>
  <c r="M19" i="18"/>
  <c r="I25" i="18"/>
  <c r="K24" i="18"/>
  <c r="L24" i="18"/>
  <c r="J24" i="18"/>
  <c r="O19" i="18"/>
  <c r="L17" i="18"/>
  <c r="R17" i="18" s="1"/>
  <c r="U17" i="18" s="1"/>
  <c r="K17" i="18"/>
  <c r="J17" i="18"/>
  <c r="P17" i="18" s="1"/>
  <c r="S17" i="18" s="1"/>
  <c r="I18" i="18"/>
  <c r="Q16" i="18"/>
  <c r="T16" i="18" s="1"/>
  <c r="N17" i="18"/>
  <c r="R16" i="17"/>
  <c r="U16" i="17" s="1"/>
  <c r="J17" i="17"/>
  <c r="I18" i="17"/>
  <c r="K17" i="17"/>
  <c r="L17" i="17"/>
  <c r="O17" i="17"/>
  <c r="H18" i="17"/>
  <c r="W17" i="17"/>
  <c r="M18" i="17" s="1"/>
  <c r="N17" i="17"/>
  <c r="Q16" i="17"/>
  <c r="T16" i="17" s="1"/>
  <c r="H28" i="15"/>
  <c r="E28" i="15"/>
  <c r="G28" i="15"/>
  <c r="D28" i="15"/>
  <c r="C28" i="15"/>
  <c r="V11" i="13"/>
  <c r="V16" i="13" s="1"/>
  <c r="W10" i="14"/>
  <c r="W16" i="14" s="1"/>
  <c r="V11" i="14"/>
  <c r="P53" i="14"/>
  <c r="V14" i="14"/>
  <c r="C15" i="14"/>
  <c r="C16" i="14" s="1"/>
  <c r="P54" i="14"/>
  <c r="W10" i="13"/>
  <c r="P55" i="13"/>
  <c r="V14" i="13"/>
  <c r="C15" i="13"/>
  <c r="C16" i="13" s="1"/>
  <c r="P54" i="13"/>
  <c r="F20" i="12"/>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V16" i="14" l="1"/>
  <c r="E44" i="1" s="1"/>
  <c r="D35" i="1"/>
  <c r="F35" i="1"/>
  <c r="E35" i="1"/>
  <c r="W16" i="13"/>
  <c r="I35" i="1" s="1"/>
  <c r="X16" i="13"/>
  <c r="J35" i="1" s="1"/>
  <c r="P56" i="13"/>
  <c r="P57" i="13" s="1"/>
  <c r="P58" i="13" s="1"/>
  <c r="H25" i="18"/>
  <c r="W24" i="18"/>
  <c r="P17" i="17"/>
  <c r="S17" i="17" s="1"/>
  <c r="N18" i="18"/>
  <c r="Q17" i="18"/>
  <c r="T17" i="18" s="1"/>
  <c r="O20" i="18"/>
  <c r="R19" i="18"/>
  <c r="U19" i="18" s="1"/>
  <c r="I26" i="18"/>
  <c r="K25" i="18"/>
  <c r="L25" i="18"/>
  <c r="J25" i="18"/>
  <c r="M20" i="18"/>
  <c r="P19" i="18"/>
  <c r="S19" i="18" s="1"/>
  <c r="J18" i="18"/>
  <c r="P18" i="18" s="1"/>
  <c r="S18" i="18" s="1"/>
  <c r="L18" i="18"/>
  <c r="R18" i="18" s="1"/>
  <c r="U18" i="18" s="1"/>
  <c r="K18" i="18"/>
  <c r="O18" i="17"/>
  <c r="N18" i="17"/>
  <c r="Q17" i="17"/>
  <c r="T17" i="17" s="1"/>
  <c r="H19" i="17"/>
  <c r="W18" i="17"/>
  <c r="M19" i="17" s="1"/>
  <c r="L18" i="17"/>
  <c r="I19" i="17"/>
  <c r="K18" i="17"/>
  <c r="J18" i="17"/>
  <c r="P18" i="17" s="1"/>
  <c r="S18" i="17" s="1"/>
  <c r="R17" i="17"/>
  <c r="U17" i="17" s="1"/>
  <c r="Y16" i="14"/>
  <c r="M44" i="1" s="1"/>
  <c r="G44" i="1"/>
  <c r="I44" i="1"/>
  <c r="H44" i="1"/>
  <c r="K35" i="1"/>
  <c r="P55" i="14"/>
  <c r="F21" i="12"/>
  <c r="J53" i="1"/>
  <c r="J52" i="1"/>
  <c r="J51" i="1"/>
  <c r="B6" i="9"/>
  <c r="K4" i="11" l="1"/>
  <c r="I12" i="11" s="1"/>
  <c r="K4" i="20"/>
  <c r="K2" i="11"/>
  <c r="I10" i="11" s="1"/>
  <c r="J10" i="11" s="1"/>
  <c r="K2" i="20"/>
  <c r="I10" i="20" s="1"/>
  <c r="J10" i="20" s="1"/>
  <c r="K4" i="12"/>
  <c r="I12" i="12" s="1"/>
  <c r="K4" i="21"/>
  <c r="I12" i="21" s="1"/>
  <c r="K3" i="11"/>
  <c r="I11" i="11" s="1"/>
  <c r="K11" i="11" s="1"/>
  <c r="K3" i="20"/>
  <c r="I11" i="20" s="1"/>
  <c r="O19" i="17"/>
  <c r="I19" i="12"/>
  <c r="I13" i="12" s="1"/>
  <c r="L35" i="1"/>
  <c r="D44" i="1"/>
  <c r="X16" i="14"/>
  <c r="J44" i="1" s="1"/>
  <c r="G35" i="1"/>
  <c r="F44" i="1"/>
  <c r="Y16" i="13"/>
  <c r="O35" i="1" s="1"/>
  <c r="H35" i="1"/>
  <c r="I3" i="15"/>
  <c r="W25" i="18"/>
  <c r="H26" i="18"/>
  <c r="R18" i="17"/>
  <c r="U18" i="17" s="1"/>
  <c r="M21" i="18"/>
  <c r="P20" i="18"/>
  <c r="S20" i="18" s="1"/>
  <c r="L26" i="18"/>
  <c r="K26" i="18"/>
  <c r="J26" i="18"/>
  <c r="I27" i="18"/>
  <c r="N19" i="18"/>
  <c r="Q18" i="18"/>
  <c r="T18" i="18" s="1"/>
  <c r="O21" i="18"/>
  <c r="R20" i="18"/>
  <c r="U20" i="18" s="1"/>
  <c r="J19" i="17"/>
  <c r="P19" i="17" s="1"/>
  <c r="S19" i="17" s="1"/>
  <c r="L19" i="17"/>
  <c r="R19" i="17" s="1"/>
  <c r="U19" i="17" s="1"/>
  <c r="I20" i="17"/>
  <c r="K19" i="17"/>
  <c r="H20" i="17"/>
  <c r="W19" i="17"/>
  <c r="M20" i="17" s="1"/>
  <c r="N19" i="17"/>
  <c r="Q18" i="17"/>
  <c r="T18" i="17" s="1"/>
  <c r="O44" i="1"/>
  <c r="H96" i="1" a="1"/>
  <c r="H97" i="1" s="1"/>
  <c r="L12" i="12"/>
  <c r="K12" i="12"/>
  <c r="J12" i="12"/>
  <c r="I13" i="11"/>
  <c r="L12" i="11"/>
  <c r="K12" i="11"/>
  <c r="J12" i="11"/>
  <c r="N44" i="1"/>
  <c r="P56" i="14"/>
  <c r="P59" i="13"/>
  <c r="P60" i="13" s="1"/>
  <c r="F22" i="12"/>
  <c r="P49" i="9"/>
  <c r="P50" i="9" s="1"/>
  <c r="K64" i="9"/>
  <c r="K63" i="9"/>
  <c r="K62" i="9"/>
  <c r="K61" i="9"/>
  <c r="K60" i="9"/>
  <c r="K59" i="9"/>
  <c r="K58" i="9"/>
  <c r="K57" i="9"/>
  <c r="K56" i="9"/>
  <c r="K55" i="9"/>
  <c r="K54" i="9"/>
  <c r="K53" i="9"/>
  <c r="K52" i="9"/>
  <c r="K51" i="9"/>
  <c r="K50" i="9"/>
  <c r="K49" i="9"/>
  <c r="B5" i="9"/>
  <c r="I2" i="9" s="1"/>
  <c r="E10" i="9"/>
  <c r="E11" i="9" s="1"/>
  <c r="E12" i="9" s="1"/>
  <c r="E13" i="9" s="1"/>
  <c r="E14" i="9" s="1"/>
  <c r="E15" i="9" s="1"/>
  <c r="E16" i="9" s="1"/>
  <c r="D10" i="9"/>
  <c r="D11" i="9" s="1"/>
  <c r="D12" i="9" s="1"/>
  <c r="D13" i="9" s="1"/>
  <c r="D14" i="9" s="1"/>
  <c r="D15" i="9" s="1"/>
  <c r="D16" i="9" s="1"/>
  <c r="C10" i="9"/>
  <c r="C11" i="9" s="1"/>
  <c r="C12" i="9" s="1"/>
  <c r="K11" i="20" l="1"/>
  <c r="J11" i="20"/>
  <c r="J11" i="11"/>
  <c r="K2" i="12"/>
  <c r="I10" i="12" s="1"/>
  <c r="J10" i="12" s="1"/>
  <c r="K2" i="21"/>
  <c r="I10" i="21" s="1"/>
  <c r="J10" i="21" s="1"/>
  <c r="L12" i="21"/>
  <c r="K12" i="21"/>
  <c r="J12" i="21"/>
  <c r="I19" i="21"/>
  <c r="I12" i="20"/>
  <c r="K3" i="12"/>
  <c r="I11" i="12" s="1"/>
  <c r="J11" i="12" s="1"/>
  <c r="K3" i="21"/>
  <c r="I11" i="21" s="1"/>
  <c r="K19" i="12"/>
  <c r="I20" i="12"/>
  <c r="I21" i="12" s="1"/>
  <c r="G96" i="1" a="1"/>
  <c r="G96" i="1" s="1"/>
  <c r="L19" i="12"/>
  <c r="L44" i="1"/>
  <c r="J19" i="12"/>
  <c r="K11" i="12"/>
  <c r="N35" i="1"/>
  <c r="C13" i="9"/>
  <c r="V13" i="9" s="1"/>
  <c r="W12" i="9"/>
  <c r="M35" i="1"/>
  <c r="K44" i="1"/>
  <c r="P61" i="13"/>
  <c r="P62" i="13" s="1"/>
  <c r="P63" i="13" s="1"/>
  <c r="P64" i="13" s="1"/>
  <c r="W26" i="18"/>
  <c r="H27" i="18"/>
  <c r="O22" i="18"/>
  <c r="R21" i="18"/>
  <c r="U21" i="18" s="1"/>
  <c r="N20" i="18"/>
  <c r="Q19" i="18"/>
  <c r="T19" i="18" s="1"/>
  <c r="I28" i="18"/>
  <c r="K27" i="18"/>
  <c r="J27" i="18"/>
  <c r="L27" i="18"/>
  <c r="M22" i="18"/>
  <c r="P21" i="18"/>
  <c r="S21" i="18" s="1"/>
  <c r="L20" i="17"/>
  <c r="J20" i="17"/>
  <c r="P20" i="17" s="1"/>
  <c r="S20" i="17" s="1"/>
  <c r="I21" i="17"/>
  <c r="K20" i="17"/>
  <c r="Q19" i="17"/>
  <c r="T19" i="17" s="1"/>
  <c r="N20" i="17"/>
  <c r="O20" i="17"/>
  <c r="H21" i="17"/>
  <c r="W20" i="17"/>
  <c r="M21" i="17" s="1"/>
  <c r="H98" i="1"/>
  <c r="H96" i="1"/>
  <c r="I14" i="11"/>
  <c r="L13" i="11"/>
  <c r="K13" i="11"/>
  <c r="J13" i="11"/>
  <c r="K20" i="12"/>
  <c r="I14" i="12"/>
  <c r="J13" i="12"/>
  <c r="L13" i="12"/>
  <c r="K13" i="12"/>
  <c r="P57" i="14"/>
  <c r="F23" i="12"/>
  <c r="H10" i="9"/>
  <c r="V12" i="9"/>
  <c r="H11" i="9"/>
  <c r="G11" i="9"/>
  <c r="P51" i="9"/>
  <c r="P52" i="9" s="1"/>
  <c r="F11" i="9"/>
  <c r="Q11" i="9"/>
  <c r="F10" i="9"/>
  <c r="G10" i="9"/>
  <c r="Q10" i="9"/>
  <c r="E60" i="8"/>
  <c r="F60" i="8" s="1"/>
  <c r="G60" i="8" s="1"/>
  <c r="H60" i="8" s="1"/>
  <c r="I60" i="8" s="1"/>
  <c r="J60" i="8" s="1"/>
  <c r="E61" i="8" s="1"/>
  <c r="F61" i="8" s="1"/>
  <c r="G61" i="8" s="1"/>
  <c r="H61" i="8" s="1"/>
  <c r="I61" i="8" s="1"/>
  <c r="J61" i="8" s="1"/>
  <c r="E62" i="8" s="1"/>
  <c r="F62" i="8" s="1"/>
  <c r="G62" i="8" s="1"/>
  <c r="H62" i="8" s="1"/>
  <c r="I62" i="8" s="1"/>
  <c r="J62" i="8" s="1"/>
  <c r="E63" i="8" s="1"/>
  <c r="F63" i="8" s="1"/>
  <c r="G63" i="8" s="1"/>
  <c r="H63" i="8" s="1"/>
  <c r="I63" i="8" s="1"/>
  <c r="J63" i="8" s="1"/>
  <c r="C54" i="8"/>
  <c r="C55" i="8"/>
  <c r="I2" i="15" s="1"/>
  <c r="C56" i="8"/>
  <c r="H35" i="8" s="1" a="1"/>
  <c r="K11" i="21" l="1"/>
  <c r="J11" i="21"/>
  <c r="I13" i="20"/>
  <c r="J12" i="20"/>
  <c r="K12" i="20"/>
  <c r="L12" i="20"/>
  <c r="I13" i="21"/>
  <c r="L19" i="21"/>
  <c r="I20" i="21"/>
  <c r="K19" i="21"/>
  <c r="I14" i="21"/>
  <c r="J19" i="21"/>
  <c r="L20" i="12"/>
  <c r="J20" i="12"/>
  <c r="G98" i="1"/>
  <c r="G97" i="1"/>
  <c r="C14" i="9"/>
  <c r="W13" i="9"/>
  <c r="H28" i="18"/>
  <c r="W27" i="18"/>
  <c r="Q20" i="18"/>
  <c r="T20" i="18" s="1"/>
  <c r="N21" i="18"/>
  <c r="M23" i="18"/>
  <c r="P22" i="18"/>
  <c r="S22" i="18" s="1"/>
  <c r="I29" i="18"/>
  <c r="L28" i="18"/>
  <c r="K28" i="18"/>
  <c r="J28" i="18"/>
  <c r="O23" i="18"/>
  <c r="R22" i="18"/>
  <c r="U22" i="18" s="1"/>
  <c r="O21" i="17"/>
  <c r="J21" i="17"/>
  <c r="P21" i="17" s="1"/>
  <c r="S21" i="17" s="1"/>
  <c r="I22" i="17"/>
  <c r="L21" i="17"/>
  <c r="K21" i="17"/>
  <c r="R20" i="17"/>
  <c r="U20" i="17" s="1"/>
  <c r="N21" i="17"/>
  <c r="Q20" i="17"/>
  <c r="T20" i="17" s="1"/>
  <c r="H22" i="17"/>
  <c r="W21" i="17"/>
  <c r="M22" i="17" s="1"/>
  <c r="I15" i="12"/>
  <c r="K14" i="12"/>
  <c r="L14" i="12"/>
  <c r="J14" i="12"/>
  <c r="I6" i="15"/>
  <c r="I8" i="15"/>
  <c r="J21" i="12"/>
  <c r="I22" i="12"/>
  <c r="L21" i="12"/>
  <c r="K21" i="12"/>
  <c r="L14" i="11"/>
  <c r="I15" i="11"/>
  <c r="J14" i="11"/>
  <c r="K14" i="11"/>
  <c r="P58" i="14"/>
  <c r="P59" i="14" s="1"/>
  <c r="P60" i="14" s="1"/>
  <c r="P61" i="14" s="1"/>
  <c r="P62" i="14" s="1"/>
  <c r="P63" i="14" s="1"/>
  <c r="P64" i="14" s="1"/>
  <c r="F24" i="12"/>
  <c r="C35" i="8" a="1"/>
  <c r="H38" i="8"/>
  <c r="H42" i="8"/>
  <c r="H46" i="8"/>
  <c r="H50" i="8"/>
  <c r="H35" i="8"/>
  <c r="H37" i="8"/>
  <c r="H36" i="8"/>
  <c r="H49" i="8"/>
  <c r="H48" i="8"/>
  <c r="H47" i="8"/>
  <c r="H45" i="8"/>
  <c r="H44" i="8"/>
  <c r="H43" i="8"/>
  <c r="H41" i="8"/>
  <c r="H40" i="8"/>
  <c r="H39" i="8"/>
  <c r="K10" i="9"/>
  <c r="L10" i="9" s="1"/>
  <c r="N10" i="9" s="1"/>
  <c r="P10" i="9" s="1"/>
  <c r="I10" i="9"/>
  <c r="J10" i="9" s="1"/>
  <c r="M10" i="9" s="1"/>
  <c r="O10" i="9" s="1"/>
  <c r="K11" i="9"/>
  <c r="L11" i="9" s="1"/>
  <c r="N11" i="9" s="1"/>
  <c r="P11" i="9" s="1"/>
  <c r="C57" i="8"/>
  <c r="S11" i="9"/>
  <c r="U11" i="9" s="1"/>
  <c r="P53" i="9"/>
  <c r="I11" i="9"/>
  <c r="J11" i="9" s="1"/>
  <c r="M11" i="9" s="1"/>
  <c r="O11" i="9" s="1"/>
  <c r="R11" i="9"/>
  <c r="T11" i="9" s="1"/>
  <c r="S10" i="9"/>
  <c r="U10" i="9" s="1"/>
  <c r="R10" i="9"/>
  <c r="T10" i="9" s="1"/>
  <c r="J56" i="8"/>
  <c r="G56" i="8"/>
  <c r="E56" i="8"/>
  <c r="I56" i="8"/>
  <c r="H56" i="8"/>
  <c r="F56" i="8"/>
  <c r="D35" i="8"/>
  <c r="G35" i="8"/>
  <c r="C37" i="8"/>
  <c r="C38" i="8"/>
  <c r="C39" i="8"/>
  <c r="D40" i="8"/>
  <c r="D41" i="8"/>
  <c r="D42" i="8"/>
  <c r="E43" i="8"/>
  <c r="E44" i="8"/>
  <c r="E45" i="8"/>
  <c r="F46" i="8"/>
  <c r="F47" i="8"/>
  <c r="F48" i="8"/>
  <c r="G49" i="8"/>
  <c r="G50" i="8"/>
  <c r="C35" i="8"/>
  <c r="D36" i="8"/>
  <c r="D37" i="8"/>
  <c r="D38" i="8"/>
  <c r="E39" i="8"/>
  <c r="E40" i="8"/>
  <c r="E41" i="8"/>
  <c r="F42" i="8"/>
  <c r="F43" i="8"/>
  <c r="F44" i="8"/>
  <c r="G45" i="8"/>
  <c r="G46" i="8"/>
  <c r="G47" i="8"/>
  <c r="C49" i="8"/>
  <c r="C50" i="8"/>
  <c r="E35" i="8"/>
  <c r="E36" i="8"/>
  <c r="E37" i="8"/>
  <c r="F38" i="8"/>
  <c r="F39" i="8"/>
  <c r="F40" i="8"/>
  <c r="G41" i="8"/>
  <c r="G42" i="8"/>
  <c r="G43" i="8"/>
  <c r="C45" i="8"/>
  <c r="C46" i="8"/>
  <c r="C47" i="8"/>
  <c r="D48" i="8"/>
  <c r="D49" i="8"/>
  <c r="D50" i="8"/>
  <c r="F35" i="8"/>
  <c r="F36" i="8"/>
  <c r="G37" i="8"/>
  <c r="G38" i="8"/>
  <c r="G39" i="8"/>
  <c r="C41" i="8"/>
  <c r="C42" i="8"/>
  <c r="C43" i="8"/>
  <c r="D44" i="8"/>
  <c r="D45" i="8"/>
  <c r="D46" i="8"/>
  <c r="E47" i="8"/>
  <c r="E48" i="8"/>
  <c r="E49" i="8"/>
  <c r="F50" i="8"/>
  <c r="E50" i="8"/>
  <c r="F49" i="8"/>
  <c r="G48" i="8"/>
  <c r="C48" i="8"/>
  <c r="D47" i="8"/>
  <c r="E46" i="8"/>
  <c r="F45" i="8"/>
  <c r="G44" i="8"/>
  <c r="C44" i="8"/>
  <c r="D43" i="8"/>
  <c r="E42" i="8"/>
  <c r="F41" i="8"/>
  <c r="G40" i="8"/>
  <c r="C40" i="8"/>
  <c r="D39" i="8"/>
  <c r="E38" i="8"/>
  <c r="F37" i="8"/>
  <c r="G36" i="8"/>
  <c r="C36" i="8"/>
  <c r="K14" i="21" l="1"/>
  <c r="J14" i="21"/>
  <c r="L14" i="21"/>
  <c r="L13" i="21"/>
  <c r="K13" i="21"/>
  <c r="J13" i="21"/>
  <c r="J13" i="20"/>
  <c r="L13" i="20"/>
  <c r="K13" i="20"/>
  <c r="I14" i="20"/>
  <c r="I15" i="21"/>
  <c r="J20" i="21"/>
  <c r="L20" i="21"/>
  <c r="I21" i="21"/>
  <c r="K20" i="21"/>
  <c r="C15" i="9"/>
  <c r="C16" i="9" s="1"/>
  <c r="W14" i="9"/>
  <c r="V14" i="9"/>
  <c r="W10" i="9"/>
  <c r="W28" i="18"/>
  <c r="H29" i="18"/>
  <c r="M24" i="18"/>
  <c r="P23" i="18"/>
  <c r="S23" i="18" s="1"/>
  <c r="O24" i="18"/>
  <c r="R23" i="18"/>
  <c r="U23" i="18" s="1"/>
  <c r="I30" i="18"/>
  <c r="K29" i="18"/>
  <c r="L29" i="18"/>
  <c r="J29" i="18"/>
  <c r="Q21" i="18"/>
  <c r="T21" i="18" s="1"/>
  <c r="N22" i="18"/>
  <c r="R21" i="17"/>
  <c r="U21" i="17" s="1"/>
  <c r="N22" i="17"/>
  <c r="Q21" i="17"/>
  <c r="T21" i="17" s="1"/>
  <c r="L22" i="17"/>
  <c r="I23" i="17"/>
  <c r="K22" i="17"/>
  <c r="J22" i="17"/>
  <c r="P22" i="17" s="1"/>
  <c r="S22" i="17" s="1"/>
  <c r="W22" i="17"/>
  <c r="M23" i="17" s="1"/>
  <c r="H23" i="17"/>
  <c r="O22" i="17"/>
  <c r="J15" i="11"/>
  <c r="I16" i="11"/>
  <c r="L15" i="11"/>
  <c r="K15" i="11"/>
  <c r="J22" i="12"/>
  <c r="L22" i="12"/>
  <c r="I23" i="12"/>
  <c r="K22" i="12"/>
  <c r="I16" i="12"/>
  <c r="L15" i="12"/>
  <c r="J15" i="12"/>
  <c r="K15" i="12"/>
  <c r="F25" i="12"/>
  <c r="Q56" i="8"/>
  <c r="L56" i="8"/>
  <c r="R56" i="8" s="1"/>
  <c r="O56" i="8"/>
  <c r="U56" i="8" s="1"/>
  <c r="P56" i="8"/>
  <c r="V56" i="8" s="1"/>
  <c r="W11" i="9"/>
  <c r="W16" i="9" s="1"/>
  <c r="M56" i="8"/>
  <c r="S56" i="8" s="1"/>
  <c r="N56" i="8"/>
  <c r="T56" i="8" s="1"/>
  <c r="V11" i="9"/>
  <c r="P54" i="9"/>
  <c r="P55" i="9" s="1"/>
  <c r="V10" i="9"/>
  <c r="L15" i="21" l="1"/>
  <c r="J15" i="21"/>
  <c r="K15" i="21"/>
  <c r="I16" i="21"/>
  <c r="J21" i="21"/>
  <c r="I22" i="21"/>
  <c r="L21" i="21"/>
  <c r="K21" i="21"/>
  <c r="I15" i="20"/>
  <c r="K14" i="20"/>
  <c r="L14" i="20"/>
  <c r="J14" i="20"/>
  <c r="W29" i="18"/>
  <c r="H30" i="18"/>
  <c r="O23" i="17"/>
  <c r="Q22" i="18"/>
  <c r="T22" i="18" s="1"/>
  <c r="N23" i="18"/>
  <c r="O25" i="18"/>
  <c r="R24" i="18"/>
  <c r="U24" i="18" s="1"/>
  <c r="I31" i="18"/>
  <c r="K30" i="18"/>
  <c r="J30" i="18"/>
  <c r="L30" i="18"/>
  <c r="M25" i="18"/>
  <c r="P24" i="18"/>
  <c r="S24" i="18" s="1"/>
  <c r="R22" i="17"/>
  <c r="U22" i="17" s="1"/>
  <c r="H24" i="17"/>
  <c r="W23" i="17"/>
  <c r="M24" i="17" s="1"/>
  <c r="N23" i="17"/>
  <c r="Q22" i="17"/>
  <c r="T22" i="17" s="1"/>
  <c r="J23" i="17"/>
  <c r="P23" i="17" s="1"/>
  <c r="S23" i="17" s="1"/>
  <c r="I24" i="17"/>
  <c r="L23" i="17"/>
  <c r="K23" i="17"/>
  <c r="L16" i="12"/>
  <c r="K16" i="12"/>
  <c r="J16" i="12"/>
  <c r="I17" i="12"/>
  <c r="I24" i="12"/>
  <c r="L23" i="12"/>
  <c r="J23" i="12"/>
  <c r="K23" i="12"/>
  <c r="L16" i="11"/>
  <c r="K16" i="11"/>
  <c r="J16" i="11"/>
  <c r="I17" i="11"/>
  <c r="F26" i="12"/>
  <c r="W56" i="8"/>
  <c r="P56" i="9"/>
  <c r="V16" i="9"/>
  <c r="E26" i="1" s="1"/>
  <c r="I26" i="1"/>
  <c r="H26" i="1"/>
  <c r="G26" i="1"/>
  <c r="Y16" i="9"/>
  <c r="O26" i="1" s="1"/>
  <c r="P57" i="9"/>
  <c r="K16" i="21" l="1"/>
  <c r="L16" i="21"/>
  <c r="J16" i="21"/>
  <c r="I17" i="21"/>
  <c r="J22" i="21"/>
  <c r="L22" i="21"/>
  <c r="K22" i="21"/>
  <c r="I23" i="21"/>
  <c r="J15" i="20"/>
  <c r="L15" i="20"/>
  <c r="K15" i="20"/>
  <c r="I16" i="20"/>
  <c r="W30" i="18"/>
  <c r="H31" i="18"/>
  <c r="R23" i="17"/>
  <c r="U23" i="17" s="1"/>
  <c r="I32" i="18"/>
  <c r="K31" i="18"/>
  <c r="L31" i="18"/>
  <c r="J31" i="18"/>
  <c r="O26" i="18"/>
  <c r="R25" i="18"/>
  <c r="U25" i="18" s="1"/>
  <c r="M26" i="18"/>
  <c r="P25" i="18"/>
  <c r="S25" i="18" s="1"/>
  <c r="N24" i="18"/>
  <c r="Q23" i="18"/>
  <c r="T23" i="18" s="1"/>
  <c r="N24" i="17"/>
  <c r="Q23" i="17"/>
  <c r="T23" i="17" s="1"/>
  <c r="H25" i="17"/>
  <c r="W24" i="17"/>
  <c r="M25" i="17" s="1"/>
  <c r="L24" i="17"/>
  <c r="K24" i="17"/>
  <c r="J24" i="17"/>
  <c r="P24" i="17" s="1"/>
  <c r="S24" i="17" s="1"/>
  <c r="I25" i="17"/>
  <c r="O24" i="17"/>
  <c r="K17" i="11"/>
  <c r="L17" i="11"/>
  <c r="I18" i="11"/>
  <c r="J17" i="11"/>
  <c r="L17" i="12"/>
  <c r="J17" i="12"/>
  <c r="K17" i="12"/>
  <c r="I18" i="12"/>
  <c r="I25" i="12"/>
  <c r="J24" i="12"/>
  <c r="L24" i="12"/>
  <c r="K24" i="12"/>
  <c r="F27" i="12"/>
  <c r="D17" i="1" a="1"/>
  <c r="F26" i="1"/>
  <c r="X16" i="9"/>
  <c r="L26" i="1" s="1"/>
  <c r="D26" i="1"/>
  <c r="M26" i="1"/>
  <c r="N26" i="1"/>
  <c r="P58" i="9"/>
  <c r="K16" i="20" l="1"/>
  <c r="J16" i="20"/>
  <c r="I17" i="20"/>
  <c r="L16" i="20"/>
  <c r="J23" i="21"/>
  <c r="L23" i="21"/>
  <c r="K23" i="21"/>
  <c r="I24" i="21"/>
  <c r="L17" i="21"/>
  <c r="J17" i="21"/>
  <c r="K17" i="21"/>
  <c r="I18" i="21"/>
  <c r="O25" i="17"/>
  <c r="H32" i="18"/>
  <c r="W31" i="18"/>
  <c r="M27" i="18"/>
  <c r="P26" i="18"/>
  <c r="S26" i="18" s="1"/>
  <c r="Q24" i="18"/>
  <c r="T24" i="18" s="1"/>
  <c r="N25" i="18"/>
  <c r="O27" i="18"/>
  <c r="R26" i="18"/>
  <c r="U26" i="18" s="1"/>
  <c r="L32" i="18"/>
  <c r="J32" i="18"/>
  <c r="I33" i="18"/>
  <c r="K32" i="18"/>
  <c r="R24" i="17"/>
  <c r="U24" i="17" s="1"/>
  <c r="J25" i="17"/>
  <c r="P25" i="17" s="1"/>
  <c r="S25" i="17" s="1"/>
  <c r="I26" i="17"/>
  <c r="K25" i="17"/>
  <c r="L25" i="17"/>
  <c r="H26" i="17"/>
  <c r="W25" i="17"/>
  <c r="M26" i="17" s="1"/>
  <c r="N25" i="17"/>
  <c r="Q24" i="17"/>
  <c r="T24" i="17" s="1"/>
  <c r="J25" i="12"/>
  <c r="I26" i="12"/>
  <c r="L25" i="12"/>
  <c r="K25" i="12"/>
  <c r="J18" i="12"/>
  <c r="L18" i="12"/>
  <c r="K18" i="12"/>
  <c r="I19" i="11"/>
  <c r="L18" i="11"/>
  <c r="J18" i="11"/>
  <c r="K18" i="11"/>
  <c r="F28" i="12"/>
  <c r="I17" i="1"/>
  <c r="G17" i="1"/>
  <c r="K17" i="1"/>
  <c r="H17" i="1"/>
  <c r="M17" i="1"/>
  <c r="L17" i="1"/>
  <c r="D17" i="1"/>
  <c r="N17" i="1"/>
  <c r="F17" i="1"/>
  <c r="J17" i="1"/>
  <c r="E17" i="1"/>
  <c r="O17" i="1"/>
  <c r="J26" i="1"/>
  <c r="K26" i="1"/>
  <c r="P59" i="9"/>
  <c r="K17" i="20" l="1"/>
  <c r="J17" i="20"/>
  <c r="I18" i="20"/>
  <c r="L17" i="20"/>
  <c r="J18" i="21"/>
  <c r="L18" i="21"/>
  <c r="K18" i="21"/>
  <c r="L24" i="21"/>
  <c r="I25" i="21"/>
  <c r="K24" i="21"/>
  <c r="J24" i="21"/>
  <c r="R25" i="17"/>
  <c r="U25" i="17" s="1"/>
  <c r="H33" i="18"/>
  <c r="W32" i="18"/>
  <c r="I34" i="18"/>
  <c r="K33" i="18"/>
  <c r="J33" i="18"/>
  <c r="L33" i="18"/>
  <c r="O28" i="18"/>
  <c r="R27" i="18"/>
  <c r="U27" i="18" s="1"/>
  <c r="N26" i="18"/>
  <c r="Q25" i="18"/>
  <c r="T25" i="18" s="1"/>
  <c r="M28" i="18"/>
  <c r="P27" i="18"/>
  <c r="S27" i="18" s="1"/>
  <c r="L26" i="17"/>
  <c r="K26" i="17"/>
  <c r="J26" i="17"/>
  <c r="P26" i="17" s="1"/>
  <c r="S26" i="17" s="1"/>
  <c r="I27" i="17"/>
  <c r="N26" i="17"/>
  <c r="Q25" i="17"/>
  <c r="T25" i="17" s="1"/>
  <c r="H27" i="17"/>
  <c r="W26" i="17"/>
  <c r="M27" i="17" s="1"/>
  <c r="O26" i="17"/>
  <c r="F11" i="15" a="1"/>
  <c r="F11" i="15" s="1"/>
  <c r="H11" i="15" s="1"/>
  <c r="F29" i="15" s="1"/>
  <c r="J19" i="11"/>
  <c r="L19" i="11"/>
  <c r="I20" i="11"/>
  <c r="K19" i="11"/>
  <c r="E11" i="15" a="1"/>
  <c r="I27" i="12"/>
  <c r="J26" i="12"/>
  <c r="L26" i="12"/>
  <c r="K26" i="12"/>
  <c r="F29" i="12"/>
  <c r="P60" i="9"/>
  <c r="P61" i="9" s="1"/>
  <c r="P62" i="9" s="1"/>
  <c r="J18" i="20" l="1"/>
  <c r="L18" i="20"/>
  <c r="I19" i="20"/>
  <c r="K18" i="20"/>
  <c r="L25" i="21"/>
  <c r="K25" i="21"/>
  <c r="I26" i="21"/>
  <c r="J25" i="21"/>
  <c r="W33" i="18"/>
  <c r="H34" i="18"/>
  <c r="O27" i="17"/>
  <c r="Q26" i="18"/>
  <c r="T26" i="18" s="1"/>
  <c r="N27" i="18"/>
  <c r="M29" i="18"/>
  <c r="P28" i="18"/>
  <c r="S28" i="18" s="1"/>
  <c r="O29" i="18"/>
  <c r="R28" i="18"/>
  <c r="U28" i="18" s="1"/>
  <c r="I35" i="18"/>
  <c r="L34" i="18"/>
  <c r="J34" i="18"/>
  <c r="K34" i="18"/>
  <c r="R26" i="17"/>
  <c r="U26" i="17" s="1"/>
  <c r="N27" i="17"/>
  <c r="Q26" i="17"/>
  <c r="T26" i="17" s="1"/>
  <c r="H28" i="17"/>
  <c r="W27" i="17"/>
  <c r="M28" i="17" s="1"/>
  <c r="J27" i="17"/>
  <c r="P27" i="17" s="1"/>
  <c r="S27" i="17" s="1"/>
  <c r="L27" i="17"/>
  <c r="I28" i="17"/>
  <c r="K27" i="17"/>
  <c r="F12" i="15"/>
  <c r="H12" i="15" s="1"/>
  <c r="D30" i="15" s="1"/>
  <c r="F13" i="15"/>
  <c r="H13" i="15" s="1"/>
  <c r="F31" i="15" s="1"/>
  <c r="E11" i="15"/>
  <c r="G11" i="15" s="1"/>
  <c r="F20" i="15" s="1"/>
  <c r="E13" i="15"/>
  <c r="G13" i="15" s="1"/>
  <c r="F22" i="15" s="1"/>
  <c r="E12" i="15"/>
  <c r="G12" i="15" s="1"/>
  <c r="F21" i="15" s="1"/>
  <c r="L20" i="11"/>
  <c r="I21" i="11"/>
  <c r="J20" i="11"/>
  <c r="K20" i="11"/>
  <c r="E29" i="15"/>
  <c r="H29" i="15"/>
  <c r="G29" i="15" s="1"/>
  <c r="D29" i="15"/>
  <c r="J27" i="12"/>
  <c r="I28" i="12"/>
  <c r="L27" i="12"/>
  <c r="K27" i="12"/>
  <c r="F30" i="12"/>
  <c r="P63" i="9"/>
  <c r="P64" i="9" s="1"/>
  <c r="L26" i="21" l="1"/>
  <c r="I27" i="21"/>
  <c r="K26" i="21"/>
  <c r="J26" i="21"/>
  <c r="L19" i="20"/>
  <c r="J19" i="20"/>
  <c r="K19" i="20"/>
  <c r="I20" i="20"/>
  <c r="R27" i="17"/>
  <c r="U27" i="17" s="1"/>
  <c r="W34" i="18"/>
  <c r="H35" i="18"/>
  <c r="I36" i="18"/>
  <c r="K35" i="18"/>
  <c r="L35" i="18"/>
  <c r="J35" i="18"/>
  <c r="M30" i="18"/>
  <c r="P29" i="18"/>
  <c r="S29" i="18" s="1"/>
  <c r="O30" i="18"/>
  <c r="R29" i="18"/>
  <c r="U29" i="18" s="1"/>
  <c r="N28" i="18"/>
  <c r="Q27" i="18"/>
  <c r="T27" i="18" s="1"/>
  <c r="L28" i="17"/>
  <c r="J28" i="17"/>
  <c r="P28" i="17" s="1"/>
  <c r="S28" i="17" s="1"/>
  <c r="K28" i="17"/>
  <c r="I29" i="17"/>
  <c r="Q27" i="17"/>
  <c r="T27" i="17" s="1"/>
  <c r="N28" i="17"/>
  <c r="H29" i="17"/>
  <c r="W28" i="17"/>
  <c r="M29" i="17" s="1"/>
  <c r="O28" i="17"/>
  <c r="H30" i="15"/>
  <c r="F30" i="15"/>
  <c r="E30" i="15"/>
  <c r="C30" i="15" s="1"/>
  <c r="C48" i="15" s="1"/>
  <c r="E31" i="15"/>
  <c r="D31" i="15"/>
  <c r="H31" i="15"/>
  <c r="G31" i="15" s="1"/>
  <c r="C29" i="15"/>
  <c r="C47" i="15" s="1"/>
  <c r="E21" i="15"/>
  <c r="H21" i="15"/>
  <c r="G21" i="15" s="1"/>
  <c r="D21" i="15"/>
  <c r="F47" i="15"/>
  <c r="E22" i="15"/>
  <c r="H22" i="15"/>
  <c r="G22" i="15" s="1"/>
  <c r="D22" i="15"/>
  <c r="J28" i="12"/>
  <c r="L28" i="12"/>
  <c r="I29" i="12"/>
  <c r="K28" i="12"/>
  <c r="L21" i="11"/>
  <c r="J21" i="11"/>
  <c r="I22" i="11"/>
  <c r="K21" i="11"/>
  <c r="E20" i="15"/>
  <c r="H20" i="15"/>
  <c r="G20" i="15" s="1"/>
  <c r="D20" i="15"/>
  <c r="F31" i="12"/>
  <c r="I21" i="20" l="1"/>
  <c r="J20" i="20"/>
  <c r="K20" i="20"/>
  <c r="L20" i="20"/>
  <c r="J27" i="21"/>
  <c r="L27" i="21"/>
  <c r="K27" i="21"/>
  <c r="I28" i="21"/>
  <c r="O29" i="17"/>
  <c r="G30" i="15"/>
  <c r="F48" i="15" s="1"/>
  <c r="W35" i="18"/>
  <c r="H36" i="18"/>
  <c r="O31" i="18"/>
  <c r="R30" i="18"/>
  <c r="U30" i="18" s="1"/>
  <c r="Q28" i="18"/>
  <c r="T28" i="18" s="1"/>
  <c r="N29" i="18"/>
  <c r="M31" i="18"/>
  <c r="P30" i="18"/>
  <c r="S30" i="18" s="1"/>
  <c r="J36" i="18"/>
  <c r="I37" i="18"/>
  <c r="L36" i="18"/>
  <c r="K36" i="18"/>
  <c r="N29" i="17"/>
  <c r="Q28" i="17"/>
  <c r="T28" i="17" s="1"/>
  <c r="R28" i="17"/>
  <c r="U28" i="17" s="1"/>
  <c r="H30" i="17"/>
  <c r="W29" i="17"/>
  <c r="J29" i="17"/>
  <c r="P29" i="17" s="1"/>
  <c r="S29" i="17" s="1"/>
  <c r="I30" i="17"/>
  <c r="L29" i="17"/>
  <c r="R29" i="17" s="1"/>
  <c r="U29" i="17" s="1"/>
  <c r="K29" i="17"/>
  <c r="F49" i="15"/>
  <c r="C31" i="15"/>
  <c r="C49" i="15" s="1"/>
  <c r="H47" i="15"/>
  <c r="G47" i="15"/>
  <c r="G49" i="15"/>
  <c r="E47" i="15"/>
  <c r="D47" i="15"/>
  <c r="E48" i="15"/>
  <c r="D48" i="15"/>
  <c r="F38" i="15"/>
  <c r="I23" i="11"/>
  <c r="K22" i="11"/>
  <c r="J22" i="11"/>
  <c r="L22" i="11"/>
  <c r="F39" i="15"/>
  <c r="C20" i="15"/>
  <c r="C38" i="15" s="1"/>
  <c r="L29" i="12"/>
  <c r="I30" i="12"/>
  <c r="J29" i="12"/>
  <c r="K29" i="12"/>
  <c r="C22" i="15"/>
  <c r="C40" i="15" s="1"/>
  <c r="H49" i="15"/>
  <c r="F40" i="15"/>
  <c r="C21" i="15"/>
  <c r="C39" i="15" s="1"/>
  <c r="F32" i="12"/>
  <c r="O61" i="1" l="1"/>
  <c r="M60" i="1" a="1"/>
  <c r="M60" i="1" s="1"/>
  <c r="J28" i="21"/>
  <c r="L28" i="21"/>
  <c r="K28" i="21"/>
  <c r="I29" i="21"/>
  <c r="O60" i="1"/>
  <c r="M61" i="1" a="1"/>
  <c r="M61" i="1" s="1"/>
  <c r="M73" i="1" a="1"/>
  <c r="M73" i="1" s="1"/>
  <c r="M66" i="1" a="1"/>
  <c r="M66" i="1" s="1"/>
  <c r="N61" i="1"/>
  <c r="O30" i="17"/>
  <c r="J21" i="20"/>
  <c r="L21" i="20"/>
  <c r="I22" i="20"/>
  <c r="K21" i="20"/>
  <c r="J2" i="12"/>
  <c r="H10" i="12" s="1"/>
  <c r="J2" i="21"/>
  <c r="H10" i="21" s="1"/>
  <c r="H37" i="18"/>
  <c r="W36" i="18"/>
  <c r="M30" i="17"/>
  <c r="M32" i="18"/>
  <c r="P31" i="18"/>
  <c r="S31" i="18" s="1"/>
  <c r="I38" i="18"/>
  <c r="K37" i="18"/>
  <c r="L37" i="18"/>
  <c r="J37" i="18"/>
  <c r="Q29" i="18"/>
  <c r="T29" i="18" s="1"/>
  <c r="N30" i="18"/>
  <c r="O32" i="18"/>
  <c r="R31" i="18"/>
  <c r="U31" i="18" s="1"/>
  <c r="W30" i="17"/>
  <c r="O31" i="17" s="1"/>
  <c r="H31" i="17"/>
  <c r="N30" i="17"/>
  <c r="Q29" i="17"/>
  <c r="T29" i="17" s="1"/>
  <c r="L30" i="17"/>
  <c r="R30" i="17" s="1"/>
  <c r="U30" i="17" s="1"/>
  <c r="I31" i="17"/>
  <c r="K30" i="17"/>
  <c r="J30" i="17"/>
  <c r="H48" i="15"/>
  <c r="G48" i="15"/>
  <c r="M67" i="1" s="1" a="1"/>
  <c r="M67" i="1" s="1"/>
  <c r="E49" i="15"/>
  <c r="D49" i="15"/>
  <c r="M72" i="1" s="1" a="1"/>
  <c r="M72" i="1" s="1"/>
  <c r="G39" i="15"/>
  <c r="G38" i="15"/>
  <c r="H39" i="15"/>
  <c r="E38" i="15"/>
  <c r="D38" i="15"/>
  <c r="E40" i="15"/>
  <c r="H40" i="15"/>
  <c r="E39" i="15"/>
  <c r="H38" i="15"/>
  <c r="D39" i="15"/>
  <c r="D40" i="15"/>
  <c r="G72" i="1" s="1" a="1"/>
  <c r="G72" i="1" s="1"/>
  <c r="L30" i="12"/>
  <c r="I31" i="12"/>
  <c r="J30" i="12"/>
  <c r="K30" i="12"/>
  <c r="G40" i="15"/>
  <c r="G73" i="1" s="1" a="1"/>
  <c r="G73" i="1" s="1"/>
  <c r="K23" i="11"/>
  <c r="J23" i="11"/>
  <c r="L23" i="11"/>
  <c r="I24" i="11"/>
  <c r="F33" i="12"/>
  <c r="H60" i="1" l="1"/>
  <c r="O67" i="1"/>
  <c r="J3" i="21" s="1"/>
  <c r="H11" i="21" s="1"/>
  <c r="O66" i="1"/>
  <c r="N73" i="1"/>
  <c r="G61" i="1" a="1"/>
  <c r="G61" i="1" s="1"/>
  <c r="I60" i="1"/>
  <c r="G60" i="1" a="1"/>
  <c r="G60" i="1" s="1"/>
  <c r="N66" i="1"/>
  <c r="H73" i="1"/>
  <c r="O73" i="1"/>
  <c r="N72" i="1"/>
  <c r="H72" i="1"/>
  <c r="I73" i="1"/>
  <c r="O72" i="1"/>
  <c r="I72" i="1"/>
  <c r="N67" i="1"/>
  <c r="J22" i="20"/>
  <c r="I23" i="20"/>
  <c r="K22" i="20"/>
  <c r="L22" i="20"/>
  <c r="G66" i="1" a="1"/>
  <c r="G66" i="1" s="1"/>
  <c r="G67" i="1" a="1"/>
  <c r="G67" i="1" s="1"/>
  <c r="L29" i="21"/>
  <c r="K29" i="21"/>
  <c r="J29" i="21"/>
  <c r="I30" i="21"/>
  <c r="N60" i="1"/>
  <c r="W10" i="21"/>
  <c r="M11" i="21" s="1"/>
  <c r="P10" i="21"/>
  <c r="S10" i="21" s="1"/>
  <c r="J3" i="12"/>
  <c r="H11" i="12" s="1"/>
  <c r="P10" i="12"/>
  <c r="S10" i="12" s="1"/>
  <c r="W10" i="12"/>
  <c r="M11" i="12" s="1"/>
  <c r="J4" i="11"/>
  <c r="H19" i="12" s="1"/>
  <c r="J4" i="20"/>
  <c r="M31" i="17"/>
  <c r="W37" i="18"/>
  <c r="H38" i="18"/>
  <c r="P30" i="17"/>
  <c r="S30" i="17" s="1"/>
  <c r="O33" i="18"/>
  <c r="R32" i="18"/>
  <c r="U32" i="18" s="1"/>
  <c r="M33" i="18"/>
  <c r="P32" i="18"/>
  <c r="S32" i="18" s="1"/>
  <c r="Q30" i="18"/>
  <c r="T30" i="18" s="1"/>
  <c r="N31" i="18"/>
  <c r="I39" i="18"/>
  <c r="K38" i="18"/>
  <c r="L38" i="18"/>
  <c r="J38" i="18"/>
  <c r="H32" i="17"/>
  <c r="W31" i="17"/>
  <c r="J31" i="17"/>
  <c r="P31" i="17" s="1"/>
  <c r="S31" i="17" s="1"/>
  <c r="I32" i="17"/>
  <c r="L31" i="17"/>
  <c r="R31" i="17" s="1"/>
  <c r="U31" i="17" s="1"/>
  <c r="K31" i="17"/>
  <c r="N31" i="17"/>
  <c r="Q30" i="17"/>
  <c r="T30" i="17" s="1"/>
  <c r="L31" i="12"/>
  <c r="J31" i="12"/>
  <c r="I32" i="12"/>
  <c r="K31" i="12"/>
  <c r="H12" i="11"/>
  <c r="K24" i="11"/>
  <c r="L24" i="11"/>
  <c r="J24" i="11"/>
  <c r="I25" i="11"/>
  <c r="F34" i="12"/>
  <c r="L30" i="21" l="1"/>
  <c r="J30" i="21"/>
  <c r="I31" i="21"/>
  <c r="K30" i="21"/>
  <c r="L23" i="20"/>
  <c r="K23" i="20"/>
  <c r="J23" i="20"/>
  <c r="I24" i="20"/>
  <c r="I67" i="1"/>
  <c r="H66" i="1"/>
  <c r="H67" i="1"/>
  <c r="I66" i="1"/>
  <c r="M32" i="17"/>
  <c r="H61" i="1"/>
  <c r="J4" i="12"/>
  <c r="H12" i="12" s="1"/>
  <c r="J4" i="21"/>
  <c r="H12" i="21" s="1"/>
  <c r="I61" i="1"/>
  <c r="W11" i="21"/>
  <c r="N12" i="21" s="1"/>
  <c r="Q11" i="21"/>
  <c r="T11" i="21" s="1"/>
  <c r="P11" i="21"/>
  <c r="S11" i="21" s="1"/>
  <c r="W12" i="11"/>
  <c r="O13" i="11" s="1"/>
  <c r="R12" i="11"/>
  <c r="U12" i="11" s="1"/>
  <c r="W11" i="12"/>
  <c r="N12" i="12" s="1"/>
  <c r="Q11" i="12"/>
  <c r="T11" i="12" s="1"/>
  <c r="P11" i="12"/>
  <c r="S11" i="12" s="1"/>
  <c r="H19" i="21"/>
  <c r="H12" i="20"/>
  <c r="W38" i="18"/>
  <c r="H39" i="18"/>
  <c r="Q31" i="18"/>
  <c r="T31" i="18" s="1"/>
  <c r="N32" i="18"/>
  <c r="O34" i="18"/>
  <c r="R33" i="18"/>
  <c r="U33" i="18" s="1"/>
  <c r="I40" i="18"/>
  <c r="K39" i="18"/>
  <c r="L39" i="18"/>
  <c r="J39" i="18"/>
  <c r="M34" i="18"/>
  <c r="P33" i="18"/>
  <c r="S33" i="18" s="1"/>
  <c r="L32" i="17"/>
  <c r="J32" i="17"/>
  <c r="P32" i="17" s="1"/>
  <c r="S32" i="17" s="1"/>
  <c r="I33" i="17"/>
  <c r="K32" i="17"/>
  <c r="W32" i="17"/>
  <c r="M33" i="17" s="1"/>
  <c r="H33" i="17"/>
  <c r="N32" i="17"/>
  <c r="Q31" i="17"/>
  <c r="T31" i="17" s="1"/>
  <c r="O32" i="17"/>
  <c r="O33" i="17" s="1"/>
  <c r="H20" i="12"/>
  <c r="H13" i="12"/>
  <c r="W19" i="12"/>
  <c r="I26" i="11"/>
  <c r="K25" i="11"/>
  <c r="L25" i="11"/>
  <c r="J25" i="11"/>
  <c r="H13" i="11"/>
  <c r="I33" i="12"/>
  <c r="J32" i="12"/>
  <c r="L32" i="12"/>
  <c r="K32" i="12"/>
  <c r="F35" i="12"/>
  <c r="R12" i="21" l="1"/>
  <c r="U12" i="21" s="1"/>
  <c r="W12" i="21"/>
  <c r="O13" i="21" s="1"/>
  <c r="I25" i="20"/>
  <c r="J24" i="20"/>
  <c r="L24" i="20"/>
  <c r="K24" i="20"/>
  <c r="R12" i="12"/>
  <c r="U12" i="12" s="1"/>
  <c r="W12" i="12"/>
  <c r="O13" i="12" s="1"/>
  <c r="J31" i="21"/>
  <c r="K31" i="21"/>
  <c r="L31" i="21"/>
  <c r="I32" i="21"/>
  <c r="J2" i="20"/>
  <c r="H10" i="20" s="1"/>
  <c r="J2" i="11"/>
  <c r="H10" i="11" s="1"/>
  <c r="J3" i="11"/>
  <c r="H11" i="11" s="1"/>
  <c r="J3" i="20"/>
  <c r="H11" i="20" s="1"/>
  <c r="Q12" i="12"/>
  <c r="T12" i="12" s="1"/>
  <c r="N13" i="12"/>
  <c r="Q13" i="12" s="1"/>
  <c r="T13" i="12" s="1"/>
  <c r="Q12" i="21"/>
  <c r="T12" i="21" s="1"/>
  <c r="N13" i="21"/>
  <c r="M12" i="21"/>
  <c r="M12" i="12"/>
  <c r="P12" i="12" s="1"/>
  <c r="S12" i="12" s="1"/>
  <c r="H13" i="20"/>
  <c r="R12" i="20"/>
  <c r="U12" i="20" s="1"/>
  <c r="W12" i="20"/>
  <c r="O13" i="20" s="1"/>
  <c r="H20" i="21"/>
  <c r="W19" i="21"/>
  <c r="H13" i="21"/>
  <c r="H14" i="21" s="1"/>
  <c r="H15" i="21" s="1"/>
  <c r="M13" i="12"/>
  <c r="P13" i="12" s="1"/>
  <c r="S13" i="12" s="1"/>
  <c r="W39" i="18"/>
  <c r="H40" i="18"/>
  <c r="M35" i="18"/>
  <c r="P34" i="18"/>
  <c r="S34" i="18" s="1"/>
  <c r="L40" i="18"/>
  <c r="K40" i="18"/>
  <c r="I41" i="18"/>
  <c r="J40" i="18"/>
  <c r="Q32" i="18"/>
  <c r="T32" i="18" s="1"/>
  <c r="N33" i="18"/>
  <c r="O35" i="18"/>
  <c r="R34" i="18"/>
  <c r="U34" i="18" s="1"/>
  <c r="I34" i="17"/>
  <c r="J33" i="17"/>
  <c r="P33" i="17" s="1"/>
  <c r="S33" i="17" s="1"/>
  <c r="K33" i="17"/>
  <c r="L33" i="17"/>
  <c r="R33" i="17" s="1"/>
  <c r="U33" i="17" s="1"/>
  <c r="R32" i="17"/>
  <c r="U32" i="17" s="1"/>
  <c r="N33" i="17"/>
  <c r="Q32" i="17"/>
  <c r="T32" i="17" s="1"/>
  <c r="H34" i="17"/>
  <c r="W33" i="17"/>
  <c r="M34" i="17" s="1"/>
  <c r="J26" i="11"/>
  <c r="L26" i="11"/>
  <c r="K26" i="11"/>
  <c r="I27" i="11"/>
  <c r="H14" i="11"/>
  <c r="W13" i="11"/>
  <c r="W13" i="12"/>
  <c r="R13" i="12"/>
  <c r="U13" i="12" s="1"/>
  <c r="I34" i="12"/>
  <c r="L33" i="12"/>
  <c r="J33" i="12"/>
  <c r="K33" i="12"/>
  <c r="R13" i="11"/>
  <c r="U13" i="11" s="1"/>
  <c r="H21" i="12"/>
  <c r="W20" i="12"/>
  <c r="H14" i="12"/>
  <c r="F36" i="12"/>
  <c r="Q11" i="20" l="1"/>
  <c r="T11" i="20" s="1"/>
  <c r="W11" i="20"/>
  <c r="N12" i="20" s="1"/>
  <c r="Q12" i="20" s="1"/>
  <c r="T12" i="20" s="1"/>
  <c r="K32" i="21"/>
  <c r="L32" i="21"/>
  <c r="J32" i="21"/>
  <c r="I33" i="21"/>
  <c r="W11" i="11"/>
  <c r="N12" i="11" s="1"/>
  <c r="Q11" i="11"/>
  <c r="T11" i="11" s="1"/>
  <c r="I26" i="20"/>
  <c r="K25" i="20"/>
  <c r="J25" i="20"/>
  <c r="L25" i="20"/>
  <c r="W10" i="11"/>
  <c r="M11" i="11" s="1"/>
  <c r="P10" i="11"/>
  <c r="S10" i="11" s="1"/>
  <c r="P10" i="20"/>
  <c r="S10" i="20" s="1"/>
  <c r="W10" i="20"/>
  <c r="M11" i="20" s="1"/>
  <c r="M13" i="21"/>
  <c r="P13" i="21" s="1"/>
  <c r="S13" i="21" s="1"/>
  <c r="P12" i="21"/>
  <c r="S12" i="21" s="1"/>
  <c r="W15" i="21"/>
  <c r="H16" i="21"/>
  <c r="W13" i="20"/>
  <c r="O14" i="20" s="1"/>
  <c r="H14" i="20"/>
  <c r="R13" i="20"/>
  <c r="U13" i="20" s="1"/>
  <c r="H21" i="21"/>
  <c r="W20" i="21"/>
  <c r="W14" i="21"/>
  <c r="N13" i="20"/>
  <c r="W13" i="21"/>
  <c r="R13" i="21"/>
  <c r="U13" i="21" s="1"/>
  <c r="Q13" i="21"/>
  <c r="T13" i="21" s="1"/>
  <c r="Q13" i="20"/>
  <c r="T13" i="20" s="1"/>
  <c r="N14" i="20"/>
  <c r="O14" i="12"/>
  <c r="R14" i="12" s="1"/>
  <c r="U14" i="12" s="1"/>
  <c r="N14" i="12"/>
  <c r="H41" i="18"/>
  <c r="W40" i="18"/>
  <c r="N34" i="18"/>
  <c r="Q33" i="18"/>
  <c r="T33" i="18" s="1"/>
  <c r="O36" i="18"/>
  <c r="R35" i="18"/>
  <c r="U35" i="18" s="1"/>
  <c r="I42" i="18"/>
  <c r="K41" i="18"/>
  <c r="J41" i="18"/>
  <c r="L41" i="18"/>
  <c r="M36" i="18"/>
  <c r="P35" i="18"/>
  <c r="S35" i="18" s="1"/>
  <c r="N34" i="17"/>
  <c r="Q33" i="17"/>
  <c r="T33" i="17" s="1"/>
  <c r="L34" i="17"/>
  <c r="R34" i="17" s="1"/>
  <c r="U34" i="17" s="1"/>
  <c r="J34" i="17"/>
  <c r="P34" i="17" s="1"/>
  <c r="S34" i="17" s="1"/>
  <c r="K34" i="17"/>
  <c r="I35" i="17"/>
  <c r="W34" i="17"/>
  <c r="M35" i="17" s="1"/>
  <c r="H35" i="17"/>
  <c r="O34" i="17"/>
  <c r="M14" i="12"/>
  <c r="H15" i="11"/>
  <c r="W14" i="11"/>
  <c r="J34" i="12"/>
  <c r="I35" i="12"/>
  <c r="L34" i="12"/>
  <c r="K34" i="12"/>
  <c r="K27" i="11"/>
  <c r="I28" i="11"/>
  <c r="L27" i="11"/>
  <c r="J27" i="11"/>
  <c r="O14" i="11"/>
  <c r="R14" i="11" s="1"/>
  <c r="U14" i="11" s="1"/>
  <c r="W14" i="12"/>
  <c r="H15" i="12"/>
  <c r="H22" i="12"/>
  <c r="W21" i="12"/>
  <c r="F37" i="12"/>
  <c r="M12" i="20" l="1"/>
  <c r="P11" i="20"/>
  <c r="S11" i="20" s="1"/>
  <c r="Q12" i="11"/>
  <c r="T12" i="11" s="1"/>
  <c r="N13" i="11"/>
  <c r="I34" i="21"/>
  <c r="K33" i="21"/>
  <c r="L33" i="21"/>
  <c r="J33" i="21"/>
  <c r="M12" i="11"/>
  <c r="P11" i="11"/>
  <c r="S11" i="11" s="1"/>
  <c r="I27" i="20"/>
  <c r="L26" i="20"/>
  <c r="J26" i="20"/>
  <c r="K26" i="20"/>
  <c r="O14" i="21"/>
  <c r="M14" i="21"/>
  <c r="P14" i="21" s="1"/>
  <c r="S14" i="21" s="1"/>
  <c r="N14" i="21"/>
  <c r="H22" i="21"/>
  <c r="W21" i="21"/>
  <c r="W16" i="21"/>
  <c r="H17" i="21"/>
  <c r="H15" i="20"/>
  <c r="W14" i="20"/>
  <c r="O15" i="20" s="1"/>
  <c r="R14" i="20"/>
  <c r="U14" i="20" s="1"/>
  <c r="Q14" i="20"/>
  <c r="T14" i="20" s="1"/>
  <c r="N15" i="12"/>
  <c r="O15" i="12"/>
  <c r="R15" i="12" s="1"/>
  <c r="U15" i="12" s="1"/>
  <c r="W41" i="18"/>
  <c r="H42" i="18"/>
  <c r="M37" i="18"/>
  <c r="P36" i="18"/>
  <c r="S36" i="18" s="1"/>
  <c r="K42" i="18"/>
  <c r="I43" i="18"/>
  <c r="L42" i="18"/>
  <c r="J42" i="18"/>
  <c r="O37" i="18"/>
  <c r="R36" i="18"/>
  <c r="U36" i="18" s="1"/>
  <c r="Q34" i="18"/>
  <c r="T34" i="18" s="1"/>
  <c r="N35" i="18"/>
  <c r="O35" i="17"/>
  <c r="J35" i="17"/>
  <c r="P35" i="17" s="1"/>
  <c r="S35" i="17" s="1"/>
  <c r="L35" i="17"/>
  <c r="I36" i="17"/>
  <c r="K35" i="17"/>
  <c r="H36" i="17"/>
  <c r="W35" i="17"/>
  <c r="M36" i="17" s="1"/>
  <c r="N35" i="17"/>
  <c r="Q34" i="17"/>
  <c r="T34" i="17" s="1"/>
  <c r="O15" i="11"/>
  <c r="R15" i="11" s="1"/>
  <c r="U15" i="11" s="1"/>
  <c r="W15" i="12"/>
  <c r="H16" i="12"/>
  <c r="W15" i="11"/>
  <c r="H16" i="11"/>
  <c r="P14" i="12"/>
  <c r="S14" i="12" s="1"/>
  <c r="M15" i="12"/>
  <c r="H23" i="12"/>
  <c r="W22" i="12"/>
  <c r="I29" i="11"/>
  <c r="K28" i="11"/>
  <c r="J28" i="11"/>
  <c r="L28" i="11"/>
  <c r="L35" i="12"/>
  <c r="J35" i="12"/>
  <c r="I36" i="12"/>
  <c r="K35" i="12"/>
  <c r="Q14" i="12"/>
  <c r="T14" i="12" s="1"/>
  <c r="F38" i="12"/>
  <c r="Q13" i="11" l="1"/>
  <c r="T13" i="11" s="1"/>
  <c r="N14" i="11"/>
  <c r="L27" i="20"/>
  <c r="K27" i="20"/>
  <c r="I28" i="20"/>
  <c r="J27" i="20"/>
  <c r="P12" i="11"/>
  <c r="S12" i="11" s="1"/>
  <c r="M13" i="11"/>
  <c r="K34" i="21"/>
  <c r="L34" i="21"/>
  <c r="I35" i="21"/>
  <c r="J34" i="21"/>
  <c r="P12" i="20"/>
  <c r="S12" i="20" s="1"/>
  <c r="M13" i="20"/>
  <c r="Q14" i="21"/>
  <c r="T14" i="21" s="1"/>
  <c r="N15" i="21"/>
  <c r="N15" i="20"/>
  <c r="Q15" i="20" s="1"/>
  <c r="T15" i="20" s="1"/>
  <c r="W17" i="21"/>
  <c r="H18" i="21"/>
  <c r="W22" i="21"/>
  <c r="H23" i="21"/>
  <c r="O15" i="21"/>
  <c r="R14" i="21"/>
  <c r="U14" i="21" s="1"/>
  <c r="M15" i="21"/>
  <c r="H16" i="20"/>
  <c r="W15" i="20"/>
  <c r="O16" i="20" s="1"/>
  <c r="R15" i="20"/>
  <c r="U15" i="20" s="1"/>
  <c r="O16" i="12"/>
  <c r="R16" i="12" s="1"/>
  <c r="U16" i="12" s="1"/>
  <c r="N16" i="12"/>
  <c r="O16" i="11"/>
  <c r="R16" i="11" s="1"/>
  <c r="U16" i="11" s="1"/>
  <c r="H43" i="18"/>
  <c r="W42" i="18"/>
  <c r="Q35" i="18"/>
  <c r="T35" i="18" s="1"/>
  <c r="N36" i="18"/>
  <c r="I44" i="18"/>
  <c r="K43" i="18"/>
  <c r="L43" i="18"/>
  <c r="J43" i="18"/>
  <c r="O38" i="18"/>
  <c r="R37" i="18"/>
  <c r="U37" i="18" s="1"/>
  <c r="M38" i="18"/>
  <c r="P37" i="18"/>
  <c r="S37" i="18" s="1"/>
  <c r="R35" i="17"/>
  <c r="U35" i="17" s="1"/>
  <c r="H37" i="17"/>
  <c r="W36" i="17"/>
  <c r="M37" i="17" s="1"/>
  <c r="Q35" i="17"/>
  <c r="T35" i="17" s="1"/>
  <c r="N36" i="17"/>
  <c r="O36" i="17"/>
  <c r="L36" i="17"/>
  <c r="J36" i="17"/>
  <c r="P36" i="17" s="1"/>
  <c r="S36" i="17" s="1"/>
  <c r="I37" i="17"/>
  <c r="K36" i="17"/>
  <c r="P15" i="12"/>
  <c r="S15" i="12" s="1"/>
  <c r="M16" i="12"/>
  <c r="H17" i="11"/>
  <c r="W16" i="11"/>
  <c r="Q15" i="12"/>
  <c r="T15" i="12" s="1"/>
  <c r="I37" i="12"/>
  <c r="J36" i="12"/>
  <c r="L36" i="12"/>
  <c r="K36" i="12"/>
  <c r="W16" i="12"/>
  <c r="H17" i="12"/>
  <c r="K29" i="11"/>
  <c r="L29" i="11"/>
  <c r="J29" i="11"/>
  <c r="I30" i="11"/>
  <c r="W23" i="12"/>
  <c r="H24" i="12"/>
  <c r="F39" i="12"/>
  <c r="P13" i="11" l="1"/>
  <c r="S13" i="11" s="1"/>
  <c r="M14" i="11"/>
  <c r="J35" i="21"/>
  <c r="L35" i="21"/>
  <c r="K35" i="21"/>
  <c r="I36" i="21"/>
  <c r="P13" i="20"/>
  <c r="S13" i="20" s="1"/>
  <c r="M14" i="20"/>
  <c r="Q14" i="11"/>
  <c r="T14" i="11" s="1"/>
  <c r="N15" i="11"/>
  <c r="L28" i="20"/>
  <c r="J28" i="20"/>
  <c r="I29" i="20"/>
  <c r="K28" i="20"/>
  <c r="N16" i="20"/>
  <c r="Q16" i="20" s="1"/>
  <c r="T16" i="20" s="1"/>
  <c r="P15" i="21"/>
  <c r="S15" i="21" s="1"/>
  <c r="M16" i="21"/>
  <c r="O16" i="21"/>
  <c r="R15" i="21"/>
  <c r="U15" i="21" s="1"/>
  <c r="H17" i="20"/>
  <c r="W16" i="20"/>
  <c r="O17" i="20" s="1"/>
  <c r="R16" i="20"/>
  <c r="U16" i="20" s="1"/>
  <c r="W18" i="21"/>
  <c r="Q15" i="21"/>
  <c r="T15" i="21" s="1"/>
  <c r="N16" i="21"/>
  <c r="H24" i="21"/>
  <c r="W23" i="21"/>
  <c r="R36" i="17"/>
  <c r="U36" i="17" s="1"/>
  <c r="N17" i="12"/>
  <c r="O17" i="12"/>
  <c r="R17" i="12" s="1"/>
  <c r="U17" i="12" s="1"/>
  <c r="O17" i="11"/>
  <c r="R17" i="11" s="1"/>
  <c r="U17" i="11" s="1"/>
  <c r="W43" i="18"/>
  <c r="H44" i="18"/>
  <c r="O37" i="17"/>
  <c r="M39" i="18"/>
  <c r="P38" i="18"/>
  <c r="S38" i="18" s="1"/>
  <c r="O39" i="18"/>
  <c r="R38" i="18"/>
  <c r="U38" i="18" s="1"/>
  <c r="I45" i="18"/>
  <c r="K44" i="18"/>
  <c r="L44" i="18"/>
  <c r="J44" i="18"/>
  <c r="Q36" i="18"/>
  <c r="T36" i="18" s="1"/>
  <c r="N37" i="18"/>
  <c r="J37" i="17"/>
  <c r="P37" i="17" s="1"/>
  <c r="S37" i="17" s="1"/>
  <c r="I38" i="17"/>
  <c r="L37" i="17"/>
  <c r="K37" i="17"/>
  <c r="N37" i="17"/>
  <c r="Q36" i="17"/>
  <c r="T36" i="17" s="1"/>
  <c r="H38" i="17"/>
  <c r="W37" i="17"/>
  <c r="M38" i="17" s="1"/>
  <c r="W24" i="12"/>
  <c r="H25" i="12"/>
  <c r="L37" i="12"/>
  <c r="J37" i="12"/>
  <c r="I38" i="12"/>
  <c r="K37" i="12"/>
  <c r="P16" i="12"/>
  <c r="S16" i="12" s="1"/>
  <c r="M17" i="12"/>
  <c r="L30" i="11"/>
  <c r="I31" i="11"/>
  <c r="K30" i="11"/>
  <c r="J30" i="11"/>
  <c r="W17" i="12"/>
  <c r="H18" i="12"/>
  <c r="Q16" i="12"/>
  <c r="T16" i="12" s="1"/>
  <c r="W17" i="11"/>
  <c r="H18" i="11"/>
  <c r="F40" i="12"/>
  <c r="M15" i="20" l="1"/>
  <c r="P14" i="20"/>
  <c r="S14" i="20" s="1"/>
  <c r="Q15" i="11"/>
  <c r="T15" i="11" s="1"/>
  <c r="N16" i="11"/>
  <c r="L36" i="21"/>
  <c r="J36" i="21"/>
  <c r="K36" i="21"/>
  <c r="I37" i="21"/>
  <c r="P14" i="11"/>
  <c r="S14" i="11" s="1"/>
  <c r="M15" i="11"/>
  <c r="J29" i="20"/>
  <c r="I30" i="20"/>
  <c r="K29" i="20"/>
  <c r="L29" i="20"/>
  <c r="N17" i="20"/>
  <c r="N18" i="20" s="1"/>
  <c r="Q16" i="21"/>
  <c r="T16" i="21" s="1"/>
  <c r="N17" i="21"/>
  <c r="O17" i="21"/>
  <c r="R16" i="21"/>
  <c r="U16" i="21" s="1"/>
  <c r="P16" i="21"/>
  <c r="S16" i="21" s="1"/>
  <c r="M17" i="21"/>
  <c r="H25" i="21"/>
  <c r="W24" i="21"/>
  <c r="H18" i="20"/>
  <c r="W17" i="20"/>
  <c r="O18" i="20" s="1"/>
  <c r="R17" i="20"/>
  <c r="U17" i="20" s="1"/>
  <c r="Q17" i="20"/>
  <c r="T17" i="20" s="1"/>
  <c r="O18" i="12"/>
  <c r="R18" i="12" s="1"/>
  <c r="U18" i="12" s="1"/>
  <c r="N18" i="12"/>
  <c r="O18" i="11"/>
  <c r="R18" i="11" s="1"/>
  <c r="U18" i="11" s="1"/>
  <c r="W44" i="18"/>
  <c r="H45" i="18"/>
  <c r="R37" i="17"/>
  <c r="U37" i="17" s="1"/>
  <c r="N38" i="18"/>
  <c r="Q37" i="18"/>
  <c r="T37" i="18" s="1"/>
  <c r="O40" i="18"/>
  <c r="R39" i="18"/>
  <c r="U39" i="18" s="1"/>
  <c r="L45" i="18"/>
  <c r="K45" i="18"/>
  <c r="I46" i="18"/>
  <c r="J45" i="18"/>
  <c r="M40" i="18"/>
  <c r="P39" i="18"/>
  <c r="S39" i="18" s="1"/>
  <c r="I39" i="17"/>
  <c r="L38" i="17"/>
  <c r="K38" i="17"/>
  <c r="J38" i="17"/>
  <c r="P38" i="17" s="1"/>
  <c r="S38" i="17" s="1"/>
  <c r="N38" i="17"/>
  <c r="Q37" i="17"/>
  <c r="T37" i="17" s="1"/>
  <c r="O38" i="17"/>
  <c r="H39" i="17"/>
  <c r="W38" i="17"/>
  <c r="M39" i="17" s="1"/>
  <c r="P17" i="12"/>
  <c r="S17" i="12" s="1"/>
  <c r="M18" i="12"/>
  <c r="P18" i="12" s="1"/>
  <c r="S18" i="12" s="1"/>
  <c r="W25" i="12"/>
  <c r="H26" i="12"/>
  <c r="H19" i="11"/>
  <c r="W18" i="11"/>
  <c r="Q17" i="12"/>
  <c r="T17" i="12" s="1"/>
  <c r="J38" i="12"/>
  <c r="L38" i="12"/>
  <c r="I39" i="12"/>
  <c r="K38" i="12"/>
  <c r="W18" i="12"/>
  <c r="J31" i="11"/>
  <c r="I32" i="11"/>
  <c r="K31" i="11"/>
  <c r="L31" i="11"/>
  <c r="F41" i="12"/>
  <c r="J30" i="20" l="1"/>
  <c r="I31" i="20"/>
  <c r="K30" i="20"/>
  <c r="L30" i="20"/>
  <c r="I38" i="21"/>
  <c r="J37" i="21"/>
  <c r="K37" i="21"/>
  <c r="L37" i="21"/>
  <c r="Q16" i="11"/>
  <c r="T16" i="11" s="1"/>
  <c r="N17" i="11"/>
  <c r="M16" i="11"/>
  <c r="P15" i="11"/>
  <c r="S15" i="11" s="1"/>
  <c r="P15" i="20"/>
  <c r="S15" i="20" s="1"/>
  <c r="M16" i="20"/>
  <c r="H19" i="20"/>
  <c r="W18" i="20"/>
  <c r="O19" i="20" s="1"/>
  <c r="R18" i="20"/>
  <c r="U18" i="20" s="1"/>
  <c r="W25" i="21"/>
  <c r="H26" i="21"/>
  <c r="O18" i="21"/>
  <c r="R17" i="21"/>
  <c r="U17" i="21" s="1"/>
  <c r="P17" i="21"/>
  <c r="S17" i="21" s="1"/>
  <c r="M18" i="21"/>
  <c r="Q17" i="21"/>
  <c r="T17" i="21" s="1"/>
  <c r="N18" i="21"/>
  <c r="Q18" i="20"/>
  <c r="T18" i="20" s="1"/>
  <c r="N19" i="20"/>
  <c r="N19" i="12"/>
  <c r="N20" i="12" s="1"/>
  <c r="N21" i="12" s="1"/>
  <c r="N22" i="12" s="1"/>
  <c r="N23" i="12" s="1"/>
  <c r="N24" i="12" s="1"/>
  <c r="N25" i="12" s="1"/>
  <c r="N26" i="12" s="1"/>
  <c r="O19" i="12"/>
  <c r="O20" i="12" s="1"/>
  <c r="O21" i="12" s="1"/>
  <c r="O22" i="12" s="1"/>
  <c r="O23" i="12" s="1"/>
  <c r="O24" i="12" s="1"/>
  <c r="O25" i="12" s="1"/>
  <c r="O26" i="12" s="1"/>
  <c r="O19" i="11"/>
  <c r="R19" i="11" s="1"/>
  <c r="U19" i="11" s="1"/>
  <c r="H46" i="18"/>
  <c r="W45" i="18"/>
  <c r="M41" i="18"/>
  <c r="P40" i="18"/>
  <c r="S40" i="18" s="1"/>
  <c r="Q38" i="18"/>
  <c r="T38" i="18" s="1"/>
  <c r="N39" i="18"/>
  <c r="I47" i="18"/>
  <c r="K46" i="18"/>
  <c r="J46" i="18"/>
  <c r="L46" i="18"/>
  <c r="O41" i="18"/>
  <c r="R40" i="18"/>
  <c r="U40" i="18" s="1"/>
  <c r="O39" i="17"/>
  <c r="R38" i="17"/>
  <c r="U38" i="17" s="1"/>
  <c r="N39" i="17"/>
  <c r="Q38" i="17"/>
  <c r="T38" i="17" s="1"/>
  <c r="L39" i="17"/>
  <c r="I40" i="17"/>
  <c r="J39" i="17"/>
  <c r="P39" i="17" s="1"/>
  <c r="S39" i="17" s="1"/>
  <c r="K39" i="17"/>
  <c r="H40" i="17"/>
  <c r="W39" i="17"/>
  <c r="M40" i="17" s="1"/>
  <c r="R19" i="12"/>
  <c r="U19" i="12" s="1"/>
  <c r="H27" i="12"/>
  <c r="W26" i="12"/>
  <c r="K32" i="11"/>
  <c r="I33" i="11"/>
  <c r="J32" i="11"/>
  <c r="L32" i="11"/>
  <c r="H20" i="11"/>
  <c r="W19" i="11"/>
  <c r="Q18" i="12"/>
  <c r="T18" i="12" s="1"/>
  <c r="M19" i="12"/>
  <c r="L39" i="12"/>
  <c r="J39" i="12"/>
  <c r="I40" i="12"/>
  <c r="K39" i="12"/>
  <c r="F42" i="12"/>
  <c r="P16" i="11" l="1"/>
  <c r="S16" i="11" s="1"/>
  <c r="M17" i="11"/>
  <c r="M17" i="20"/>
  <c r="P16" i="20"/>
  <c r="S16" i="20" s="1"/>
  <c r="N18" i="11"/>
  <c r="Q17" i="11"/>
  <c r="T17" i="11" s="1"/>
  <c r="J31" i="20"/>
  <c r="L31" i="20"/>
  <c r="I32" i="20"/>
  <c r="K31" i="20"/>
  <c r="L38" i="21"/>
  <c r="I39" i="21"/>
  <c r="K38" i="21"/>
  <c r="J38" i="21"/>
  <c r="H27" i="21"/>
  <c r="W26" i="21"/>
  <c r="M19" i="21"/>
  <c r="P18" i="21"/>
  <c r="S18" i="21" s="1"/>
  <c r="R18" i="21"/>
  <c r="U18" i="21" s="1"/>
  <c r="O19" i="21"/>
  <c r="Q18" i="21"/>
  <c r="T18" i="21" s="1"/>
  <c r="N19" i="21"/>
  <c r="W19" i="20"/>
  <c r="O20" i="20" s="1"/>
  <c r="R19" i="20"/>
  <c r="U19" i="20" s="1"/>
  <c r="H20" i="20"/>
  <c r="Q19" i="20"/>
  <c r="T19" i="20" s="1"/>
  <c r="O27" i="12"/>
  <c r="N27" i="12"/>
  <c r="R39" i="17"/>
  <c r="U39" i="17" s="1"/>
  <c r="H47" i="18"/>
  <c r="W46" i="18"/>
  <c r="O42" i="18"/>
  <c r="R41" i="18"/>
  <c r="U41" i="18" s="1"/>
  <c r="K47" i="18"/>
  <c r="J47" i="18"/>
  <c r="L47" i="18"/>
  <c r="I48" i="18"/>
  <c r="N40" i="18"/>
  <c r="Q39" i="18"/>
  <c r="T39" i="18" s="1"/>
  <c r="M42" i="18"/>
  <c r="P41" i="18"/>
  <c r="S41" i="18" s="1"/>
  <c r="H41" i="17"/>
  <c r="W40" i="17"/>
  <c r="M41" i="17" s="1"/>
  <c r="J40" i="17"/>
  <c r="P40" i="17" s="1"/>
  <c r="S40" i="17" s="1"/>
  <c r="L40" i="17"/>
  <c r="I41" i="17"/>
  <c r="K40" i="17"/>
  <c r="N40" i="17"/>
  <c r="Q39" i="17"/>
  <c r="T39" i="17" s="1"/>
  <c r="O40" i="17"/>
  <c r="O20" i="11"/>
  <c r="R20" i="11" s="1"/>
  <c r="U20" i="11" s="1"/>
  <c r="Q19" i="12"/>
  <c r="T19" i="12" s="1"/>
  <c r="H21" i="11"/>
  <c r="W20" i="11"/>
  <c r="H28" i="12"/>
  <c r="W27" i="12"/>
  <c r="J33" i="11"/>
  <c r="I34" i="11"/>
  <c r="K33" i="11"/>
  <c r="L33" i="11"/>
  <c r="I41" i="12"/>
  <c r="J40" i="12"/>
  <c r="L40" i="12"/>
  <c r="K40" i="12"/>
  <c r="M20" i="12"/>
  <c r="P19" i="12"/>
  <c r="S19" i="12" s="1"/>
  <c r="F43" i="12"/>
  <c r="I40" i="21" l="1"/>
  <c r="L39" i="21"/>
  <c r="K39" i="21"/>
  <c r="J39" i="21"/>
  <c r="M18" i="20"/>
  <c r="P17" i="20"/>
  <c r="S17" i="20" s="1"/>
  <c r="P17" i="11"/>
  <c r="S17" i="11" s="1"/>
  <c r="M18" i="11"/>
  <c r="I33" i="20"/>
  <c r="K32" i="20"/>
  <c r="J32" i="20"/>
  <c r="L32" i="20"/>
  <c r="N19" i="11"/>
  <c r="Q18" i="11"/>
  <c r="T18" i="11" s="1"/>
  <c r="N20" i="20"/>
  <c r="Q20" i="20" s="1"/>
  <c r="T20" i="20" s="1"/>
  <c r="O28" i="12"/>
  <c r="P19" i="21"/>
  <c r="S19" i="21" s="1"/>
  <c r="M20" i="21"/>
  <c r="O20" i="21"/>
  <c r="R19" i="21"/>
  <c r="U19" i="21" s="1"/>
  <c r="W20" i="20"/>
  <c r="O21" i="20" s="1"/>
  <c r="H21" i="20"/>
  <c r="R20" i="20"/>
  <c r="U20" i="20" s="1"/>
  <c r="Q19" i="21"/>
  <c r="T19" i="21" s="1"/>
  <c r="N20" i="21"/>
  <c r="H28" i="21"/>
  <c r="W27" i="21"/>
  <c r="N28" i="12"/>
  <c r="O21" i="11"/>
  <c r="H48" i="18"/>
  <c r="W47" i="18"/>
  <c r="Q40" i="18"/>
  <c r="T40" i="18" s="1"/>
  <c r="N41" i="18"/>
  <c r="M43" i="18"/>
  <c r="P42" i="18"/>
  <c r="S42" i="18" s="1"/>
  <c r="I49" i="18"/>
  <c r="K48" i="18"/>
  <c r="L48" i="18"/>
  <c r="J48" i="18"/>
  <c r="O43" i="18"/>
  <c r="R42" i="18"/>
  <c r="U42" i="18" s="1"/>
  <c r="O41" i="17"/>
  <c r="O42" i="17" s="1"/>
  <c r="R40" i="17"/>
  <c r="U40" i="17" s="1"/>
  <c r="L41" i="17"/>
  <c r="J41" i="17"/>
  <c r="P41" i="17" s="1"/>
  <c r="S41" i="17" s="1"/>
  <c r="I42" i="17"/>
  <c r="K41" i="17"/>
  <c r="Q40" i="17"/>
  <c r="T40" i="17" s="1"/>
  <c r="N41" i="17"/>
  <c r="H42" i="17"/>
  <c r="W41" i="17"/>
  <c r="M42" i="17" s="1"/>
  <c r="R20" i="12"/>
  <c r="U20" i="12" s="1"/>
  <c r="W21" i="11"/>
  <c r="H22" i="11"/>
  <c r="R21" i="11"/>
  <c r="U21" i="11" s="1"/>
  <c r="L41" i="12"/>
  <c r="J41" i="12"/>
  <c r="I42" i="12"/>
  <c r="K41" i="12"/>
  <c r="R21" i="12"/>
  <c r="U21" i="12" s="1"/>
  <c r="Q20" i="12"/>
  <c r="T20" i="12" s="1"/>
  <c r="K34" i="11"/>
  <c r="J34" i="11"/>
  <c r="L34" i="11"/>
  <c r="I35" i="11"/>
  <c r="M21" i="12"/>
  <c r="P20" i="12"/>
  <c r="S20" i="12" s="1"/>
  <c r="H29" i="12"/>
  <c r="W28" i="12"/>
  <c r="O29" i="12" s="1"/>
  <c r="F44" i="12"/>
  <c r="M19" i="11" l="1"/>
  <c r="P18" i="11"/>
  <c r="S18" i="11" s="1"/>
  <c r="N20" i="11"/>
  <c r="Q19" i="11"/>
  <c r="T19" i="11" s="1"/>
  <c r="J33" i="20"/>
  <c r="L33" i="20"/>
  <c r="I34" i="20"/>
  <c r="K33" i="20"/>
  <c r="M19" i="20"/>
  <c r="P18" i="20"/>
  <c r="S18" i="20" s="1"/>
  <c r="L40" i="21"/>
  <c r="J40" i="21"/>
  <c r="K40" i="21"/>
  <c r="I41" i="21"/>
  <c r="N21" i="20"/>
  <c r="H29" i="21"/>
  <c r="W28" i="21"/>
  <c r="W21" i="20"/>
  <c r="O22" i="20" s="1"/>
  <c r="H22" i="20"/>
  <c r="R21" i="20"/>
  <c r="U21" i="20" s="1"/>
  <c r="O21" i="21"/>
  <c r="R20" i="21"/>
  <c r="U20" i="21" s="1"/>
  <c r="Q20" i="21"/>
  <c r="T20" i="21" s="1"/>
  <c r="N21" i="21"/>
  <c r="M21" i="21"/>
  <c r="P20" i="21"/>
  <c r="S20" i="21" s="1"/>
  <c r="Q21" i="20"/>
  <c r="T21" i="20" s="1"/>
  <c r="N29" i="12"/>
  <c r="W48" i="18"/>
  <c r="H49" i="18"/>
  <c r="M44" i="18"/>
  <c r="P43" i="18"/>
  <c r="S43" i="18" s="1"/>
  <c r="O44" i="18"/>
  <c r="R43" i="18"/>
  <c r="U43" i="18" s="1"/>
  <c r="N42" i="18"/>
  <c r="Q41" i="18"/>
  <c r="T41" i="18" s="1"/>
  <c r="J49" i="18"/>
  <c r="K49" i="18"/>
  <c r="L49" i="18"/>
  <c r="I50" i="18"/>
  <c r="R41" i="17"/>
  <c r="U41" i="17" s="1"/>
  <c r="H43" i="17"/>
  <c r="W42" i="17"/>
  <c r="M43" i="17" s="1"/>
  <c r="J42" i="17"/>
  <c r="P42" i="17" s="1"/>
  <c r="S42" i="17" s="1"/>
  <c r="K42" i="17"/>
  <c r="I43" i="17"/>
  <c r="L42" i="17"/>
  <c r="R42" i="17" s="1"/>
  <c r="U42" i="17" s="1"/>
  <c r="N42" i="17"/>
  <c r="Q41" i="17"/>
  <c r="T41" i="17" s="1"/>
  <c r="O22" i="11"/>
  <c r="R22" i="11" s="1"/>
  <c r="U22" i="11" s="1"/>
  <c r="H30" i="12"/>
  <c r="W29" i="12"/>
  <c r="O30" i="12" s="1"/>
  <c r="Q21" i="12"/>
  <c r="T21" i="12" s="1"/>
  <c r="H23" i="11"/>
  <c r="W22" i="11"/>
  <c r="M22" i="12"/>
  <c r="P21" i="12"/>
  <c r="S21" i="12" s="1"/>
  <c r="I36" i="11"/>
  <c r="K35" i="11"/>
  <c r="L35" i="11"/>
  <c r="J35" i="11"/>
  <c r="R22" i="12"/>
  <c r="U22" i="12" s="1"/>
  <c r="I43" i="12"/>
  <c r="J42" i="12"/>
  <c r="L42" i="12"/>
  <c r="K42" i="12"/>
  <c r="F45" i="12"/>
  <c r="K34" i="20" l="1"/>
  <c r="L34" i="20"/>
  <c r="I35" i="20"/>
  <c r="J34" i="20"/>
  <c r="Q20" i="11"/>
  <c r="T20" i="11" s="1"/>
  <c r="N21" i="11"/>
  <c r="J41" i="21"/>
  <c r="L41" i="21"/>
  <c r="K41" i="21"/>
  <c r="I42" i="21"/>
  <c r="M20" i="20"/>
  <c r="P19" i="20"/>
  <c r="S19" i="20" s="1"/>
  <c r="P19" i="11"/>
  <c r="S19" i="11" s="1"/>
  <c r="M20" i="11"/>
  <c r="N22" i="20"/>
  <c r="N23" i="20" s="1"/>
  <c r="H30" i="21"/>
  <c r="W29" i="21"/>
  <c r="M22" i="21"/>
  <c r="P21" i="21"/>
  <c r="S21" i="21" s="1"/>
  <c r="O22" i="21"/>
  <c r="R21" i="21"/>
  <c r="U21" i="21" s="1"/>
  <c r="Q21" i="21"/>
  <c r="T21" i="21" s="1"/>
  <c r="N22" i="21"/>
  <c r="H23" i="20"/>
  <c r="W22" i="20"/>
  <c r="O23" i="20" s="1"/>
  <c r="R22" i="20"/>
  <c r="U22" i="20" s="1"/>
  <c r="Q22" i="20"/>
  <c r="T22" i="20" s="1"/>
  <c r="N30" i="12"/>
  <c r="H50" i="18"/>
  <c r="W49" i="18"/>
  <c r="I51" i="18"/>
  <c r="K50" i="18"/>
  <c r="L50" i="18"/>
  <c r="J50" i="18"/>
  <c r="Q42" i="18"/>
  <c r="T42" i="18" s="1"/>
  <c r="N43" i="18"/>
  <c r="M45" i="18"/>
  <c r="P44" i="18"/>
  <c r="S44" i="18" s="1"/>
  <c r="O45" i="18"/>
  <c r="R44" i="18"/>
  <c r="U44" i="18" s="1"/>
  <c r="N43" i="17"/>
  <c r="Q42" i="17"/>
  <c r="T42" i="17" s="1"/>
  <c r="O43" i="17"/>
  <c r="H44" i="17"/>
  <c r="W43" i="17"/>
  <c r="M44" i="17" s="1"/>
  <c r="L43" i="17"/>
  <c r="K43" i="17"/>
  <c r="J43" i="17"/>
  <c r="P43" i="17" s="1"/>
  <c r="S43" i="17" s="1"/>
  <c r="I44" i="17"/>
  <c r="O23" i="11"/>
  <c r="R23" i="11" s="1"/>
  <c r="U23" i="11" s="1"/>
  <c r="Q22" i="12"/>
  <c r="T22" i="12" s="1"/>
  <c r="J43" i="12"/>
  <c r="I44" i="12"/>
  <c r="L43" i="12"/>
  <c r="K43" i="12"/>
  <c r="R23" i="12"/>
  <c r="U23" i="12" s="1"/>
  <c r="I37" i="11"/>
  <c r="K36" i="11"/>
  <c r="J36" i="11"/>
  <c r="L36" i="11"/>
  <c r="M23" i="12"/>
  <c r="P22" i="12"/>
  <c r="S22" i="12" s="1"/>
  <c r="H24" i="11"/>
  <c r="W23" i="11"/>
  <c r="W30" i="12"/>
  <c r="O31" i="12" s="1"/>
  <c r="H31" i="12"/>
  <c r="F46" i="12"/>
  <c r="M21" i="20" l="1"/>
  <c r="P20" i="20"/>
  <c r="S20" i="20" s="1"/>
  <c r="J35" i="20"/>
  <c r="L35" i="20"/>
  <c r="I36" i="20"/>
  <c r="K35" i="20"/>
  <c r="P20" i="11"/>
  <c r="S20" i="11" s="1"/>
  <c r="M21" i="11"/>
  <c r="K42" i="21"/>
  <c r="J42" i="21"/>
  <c r="I43" i="21"/>
  <c r="L42" i="21"/>
  <c r="Q21" i="11"/>
  <c r="T21" i="11" s="1"/>
  <c r="N22" i="11"/>
  <c r="W23" i="20"/>
  <c r="O24" i="20" s="1"/>
  <c r="H24" i="20"/>
  <c r="R23" i="20"/>
  <c r="U23" i="20" s="1"/>
  <c r="O23" i="21"/>
  <c r="R22" i="21"/>
  <c r="U22" i="21" s="1"/>
  <c r="N23" i="21"/>
  <c r="Q22" i="21"/>
  <c r="T22" i="21" s="1"/>
  <c r="M23" i="21"/>
  <c r="P22" i="21"/>
  <c r="S22" i="21" s="1"/>
  <c r="H31" i="21"/>
  <c r="W30" i="21"/>
  <c r="Q23" i="20"/>
  <c r="T23" i="20" s="1"/>
  <c r="N24" i="20"/>
  <c r="N31" i="12"/>
  <c r="W50" i="18"/>
  <c r="H51" i="18"/>
  <c r="M46" i="18"/>
  <c r="P45" i="18"/>
  <c r="S45" i="18" s="1"/>
  <c r="O46" i="18"/>
  <c r="R45" i="18"/>
  <c r="U45" i="18" s="1"/>
  <c r="Q43" i="18"/>
  <c r="T43" i="18" s="1"/>
  <c r="N44" i="18"/>
  <c r="I52" i="18"/>
  <c r="K51" i="18"/>
  <c r="J51" i="18"/>
  <c r="L51" i="18"/>
  <c r="O44" i="17"/>
  <c r="L44" i="17"/>
  <c r="J44" i="17"/>
  <c r="P44" i="17" s="1"/>
  <c r="S44" i="17" s="1"/>
  <c r="I45" i="17"/>
  <c r="K44" i="17"/>
  <c r="R43" i="17"/>
  <c r="U43" i="17" s="1"/>
  <c r="Q43" i="17"/>
  <c r="T43" i="17" s="1"/>
  <c r="N44" i="17"/>
  <c r="H45" i="17"/>
  <c r="W44" i="17"/>
  <c r="M45" i="17" s="1"/>
  <c r="J37" i="11"/>
  <c r="I38" i="11"/>
  <c r="K37" i="11"/>
  <c r="L37" i="11"/>
  <c r="M24" i="12"/>
  <c r="P23" i="12"/>
  <c r="S23" i="12" s="1"/>
  <c r="R24" i="12"/>
  <c r="U24" i="12" s="1"/>
  <c r="H32" i="12"/>
  <c r="W31" i="12"/>
  <c r="O32" i="12" s="1"/>
  <c r="H25" i="11"/>
  <c r="W24" i="11"/>
  <c r="O24" i="11"/>
  <c r="L44" i="12"/>
  <c r="I45" i="12"/>
  <c r="J44" i="12"/>
  <c r="K44" i="12"/>
  <c r="Q23" i="12"/>
  <c r="T23" i="12" s="1"/>
  <c r="F47" i="12"/>
  <c r="P21" i="11" l="1"/>
  <c r="S21" i="11" s="1"/>
  <c r="M22" i="11"/>
  <c r="K43" i="21"/>
  <c r="J43" i="21"/>
  <c r="L43" i="21"/>
  <c r="I44" i="21"/>
  <c r="N23" i="11"/>
  <c r="Q22" i="11"/>
  <c r="T22" i="11" s="1"/>
  <c r="I37" i="20"/>
  <c r="K36" i="20"/>
  <c r="L36" i="20"/>
  <c r="J36" i="20"/>
  <c r="P21" i="20"/>
  <c r="S21" i="20" s="1"/>
  <c r="M22" i="20"/>
  <c r="M24" i="21"/>
  <c r="P23" i="21"/>
  <c r="S23" i="21" s="1"/>
  <c r="O24" i="21"/>
  <c r="R23" i="21"/>
  <c r="U23" i="21" s="1"/>
  <c r="W31" i="21"/>
  <c r="H32" i="21"/>
  <c r="Q23" i="21"/>
  <c r="T23" i="21" s="1"/>
  <c r="N24" i="21"/>
  <c r="H25" i="20"/>
  <c r="W24" i="20"/>
  <c r="O25" i="20" s="1"/>
  <c r="R24" i="20"/>
  <c r="U24" i="20" s="1"/>
  <c r="Q24" i="20"/>
  <c r="T24" i="20" s="1"/>
  <c r="N32" i="12"/>
  <c r="H52" i="18"/>
  <c r="W51" i="18"/>
  <c r="O47" i="18"/>
  <c r="R46" i="18"/>
  <c r="U46" i="18" s="1"/>
  <c r="Q44" i="18"/>
  <c r="T44" i="18" s="1"/>
  <c r="N45" i="18"/>
  <c r="I53" i="18"/>
  <c r="K52" i="18"/>
  <c r="J52" i="18"/>
  <c r="L52" i="18"/>
  <c r="M47" i="18"/>
  <c r="P46" i="18"/>
  <c r="S46" i="18" s="1"/>
  <c r="R44" i="17"/>
  <c r="U44" i="17" s="1"/>
  <c r="J45" i="17"/>
  <c r="P45" i="17" s="1"/>
  <c r="S45" i="17" s="1"/>
  <c r="K45" i="17"/>
  <c r="I46" i="17"/>
  <c r="L45" i="17"/>
  <c r="H46" i="17"/>
  <c r="W45" i="17"/>
  <c r="M46" i="17" s="1"/>
  <c r="O45" i="17"/>
  <c r="O46" i="17" s="1"/>
  <c r="N45" i="17"/>
  <c r="Q44" i="17"/>
  <c r="T44" i="17" s="1"/>
  <c r="R24" i="11"/>
  <c r="U24" i="11" s="1"/>
  <c r="O25" i="11"/>
  <c r="R25" i="12"/>
  <c r="U25" i="12" s="1"/>
  <c r="Q24" i="12"/>
  <c r="T24" i="12" s="1"/>
  <c r="L45" i="12"/>
  <c r="J45" i="12"/>
  <c r="I46" i="12"/>
  <c r="K45" i="12"/>
  <c r="L38" i="11"/>
  <c r="J38" i="11"/>
  <c r="I39" i="11"/>
  <c r="K38" i="11"/>
  <c r="H26" i="11"/>
  <c r="W25" i="11"/>
  <c r="W32" i="12"/>
  <c r="O33" i="12" s="1"/>
  <c r="H33" i="12"/>
  <c r="M25" i="12"/>
  <c r="P24" i="12"/>
  <c r="S24" i="12" s="1"/>
  <c r="F48" i="12"/>
  <c r="N24" i="11" l="1"/>
  <c r="Q23" i="11"/>
  <c r="T23" i="11" s="1"/>
  <c r="K44" i="21"/>
  <c r="L44" i="21"/>
  <c r="J44" i="21"/>
  <c r="I45" i="21"/>
  <c r="P22" i="11"/>
  <c r="S22" i="11" s="1"/>
  <c r="M23" i="11"/>
  <c r="P22" i="20"/>
  <c r="S22" i="20" s="1"/>
  <c r="M23" i="20"/>
  <c r="J37" i="20"/>
  <c r="L37" i="20"/>
  <c r="I38" i="20"/>
  <c r="K37" i="20"/>
  <c r="N25" i="20"/>
  <c r="Q25" i="20" s="1"/>
  <c r="T25" i="20" s="1"/>
  <c r="W25" i="20"/>
  <c r="O26" i="20" s="1"/>
  <c r="H26" i="20"/>
  <c r="R25" i="20"/>
  <c r="U25" i="20" s="1"/>
  <c r="O25" i="21"/>
  <c r="R24" i="21"/>
  <c r="U24" i="21" s="1"/>
  <c r="M25" i="21"/>
  <c r="P24" i="21"/>
  <c r="S24" i="21" s="1"/>
  <c r="Q24" i="21"/>
  <c r="T24" i="21" s="1"/>
  <c r="N25" i="21"/>
  <c r="W32" i="21"/>
  <c r="H33" i="21"/>
  <c r="N26" i="20"/>
  <c r="N33" i="12"/>
  <c r="H53" i="18"/>
  <c r="W52" i="18"/>
  <c r="M48" i="18"/>
  <c r="P47" i="18"/>
  <c r="S47" i="18" s="1"/>
  <c r="I54" i="18"/>
  <c r="L53" i="18"/>
  <c r="J53" i="18"/>
  <c r="K53" i="18"/>
  <c r="Q45" i="18"/>
  <c r="T45" i="18" s="1"/>
  <c r="N46" i="18"/>
  <c r="O48" i="18"/>
  <c r="R47" i="18"/>
  <c r="U47" i="18" s="1"/>
  <c r="R45" i="17"/>
  <c r="U45" i="17" s="1"/>
  <c r="W46" i="17"/>
  <c r="M47" i="17" s="1"/>
  <c r="H47" i="17"/>
  <c r="L46" i="17"/>
  <c r="R46" i="17" s="1"/>
  <c r="U46" i="17" s="1"/>
  <c r="I47" i="17"/>
  <c r="K46" i="17"/>
  <c r="J46" i="17"/>
  <c r="P46" i="17" s="1"/>
  <c r="S46" i="17" s="1"/>
  <c r="N46" i="17"/>
  <c r="Q45" i="17"/>
  <c r="T45" i="17" s="1"/>
  <c r="O47" i="17"/>
  <c r="M26" i="12"/>
  <c r="P25" i="12"/>
  <c r="S25" i="12" s="1"/>
  <c r="Q25" i="12"/>
  <c r="T25" i="12" s="1"/>
  <c r="R25" i="11"/>
  <c r="U25" i="11" s="1"/>
  <c r="O26" i="11"/>
  <c r="K39" i="11"/>
  <c r="L39" i="11"/>
  <c r="J39" i="11"/>
  <c r="I40" i="11"/>
  <c r="H27" i="11"/>
  <c r="W26" i="11"/>
  <c r="W33" i="12"/>
  <c r="O34" i="12" s="1"/>
  <c r="H34" i="12"/>
  <c r="R26" i="12"/>
  <c r="U26" i="12" s="1"/>
  <c r="J46" i="12"/>
  <c r="L46" i="12"/>
  <c r="I47" i="12"/>
  <c r="K46" i="12"/>
  <c r="F49" i="12"/>
  <c r="P23" i="11" l="1"/>
  <c r="S23" i="11" s="1"/>
  <c r="M24" i="11"/>
  <c r="M24" i="20"/>
  <c r="P23" i="20"/>
  <c r="S23" i="20" s="1"/>
  <c r="L45" i="21"/>
  <c r="K45" i="21"/>
  <c r="I46" i="21"/>
  <c r="J45" i="21"/>
  <c r="L38" i="20"/>
  <c r="I39" i="20"/>
  <c r="K38" i="20"/>
  <c r="J38" i="20"/>
  <c r="Q24" i="11"/>
  <c r="T24" i="11" s="1"/>
  <c r="N25" i="11"/>
  <c r="W33" i="21"/>
  <c r="H34" i="21"/>
  <c r="O26" i="21"/>
  <c r="R25" i="21"/>
  <c r="U25" i="21" s="1"/>
  <c r="N26" i="21"/>
  <c r="Q25" i="21"/>
  <c r="T25" i="21" s="1"/>
  <c r="M26" i="21"/>
  <c r="P25" i="21"/>
  <c r="S25" i="21" s="1"/>
  <c r="H27" i="20"/>
  <c r="W26" i="20"/>
  <c r="O27" i="20" s="1"/>
  <c r="R26" i="20"/>
  <c r="U26" i="20" s="1"/>
  <c r="Q26" i="20"/>
  <c r="T26" i="20" s="1"/>
  <c r="N34" i="12"/>
  <c r="W53" i="18"/>
  <c r="H54" i="18"/>
  <c r="I55" i="18"/>
  <c r="K54" i="18"/>
  <c r="J54" i="18"/>
  <c r="L54" i="18"/>
  <c r="O49" i="18"/>
  <c r="R48" i="18"/>
  <c r="U48" i="18" s="1"/>
  <c r="N47" i="18"/>
  <c r="Q46" i="18"/>
  <c r="T46" i="18" s="1"/>
  <c r="M49" i="18"/>
  <c r="P48" i="18"/>
  <c r="S48" i="18" s="1"/>
  <c r="H48" i="17"/>
  <c r="W47" i="17"/>
  <c r="M48" i="17" s="1"/>
  <c r="J47" i="17"/>
  <c r="P47" i="17" s="1"/>
  <c r="S47" i="17" s="1"/>
  <c r="K47" i="17"/>
  <c r="I48" i="17"/>
  <c r="L47" i="17"/>
  <c r="R47" i="17" s="1"/>
  <c r="U47" i="17" s="1"/>
  <c r="N47" i="17"/>
  <c r="Q46" i="17"/>
  <c r="T46" i="17" s="1"/>
  <c r="O27" i="11"/>
  <c r="R27" i="11" s="1"/>
  <c r="U27" i="11" s="1"/>
  <c r="H35" i="12"/>
  <c r="W34" i="12"/>
  <c r="O35" i="12" s="1"/>
  <c r="I41" i="11"/>
  <c r="K40" i="11"/>
  <c r="J40" i="11"/>
  <c r="L40" i="11"/>
  <c r="L47" i="12"/>
  <c r="J47" i="12"/>
  <c r="I48" i="12"/>
  <c r="K47" i="12"/>
  <c r="R27" i="12"/>
  <c r="U27" i="12" s="1"/>
  <c r="R26" i="11"/>
  <c r="U26" i="11" s="1"/>
  <c r="Q26" i="12"/>
  <c r="T26" i="12" s="1"/>
  <c r="W27" i="11"/>
  <c r="H28" i="11"/>
  <c r="M27" i="12"/>
  <c r="P26" i="12"/>
  <c r="S26" i="12" s="1"/>
  <c r="F50" i="12"/>
  <c r="I47" i="21" l="1"/>
  <c r="K46" i="21"/>
  <c r="L46" i="21"/>
  <c r="J46" i="21"/>
  <c r="M25" i="20"/>
  <c r="P24" i="20"/>
  <c r="S24" i="20" s="1"/>
  <c r="Q25" i="11"/>
  <c r="T25" i="11" s="1"/>
  <c r="N26" i="11"/>
  <c r="I40" i="20"/>
  <c r="K39" i="20"/>
  <c r="L39" i="20"/>
  <c r="J39" i="20"/>
  <c r="P24" i="11"/>
  <c r="S24" i="11" s="1"/>
  <c r="M25" i="11"/>
  <c r="M27" i="21"/>
  <c r="P26" i="21"/>
  <c r="S26" i="21" s="1"/>
  <c r="O27" i="21"/>
  <c r="R26" i="21"/>
  <c r="U26" i="21" s="1"/>
  <c r="W27" i="20"/>
  <c r="O28" i="20" s="1"/>
  <c r="H28" i="20"/>
  <c r="R27" i="20"/>
  <c r="U27" i="20" s="1"/>
  <c r="Q26" i="21"/>
  <c r="T26" i="21" s="1"/>
  <c r="N27" i="21"/>
  <c r="N27" i="20"/>
  <c r="Q27" i="20" s="1"/>
  <c r="T27" i="20" s="1"/>
  <c r="H35" i="21"/>
  <c r="W34" i="21"/>
  <c r="N35" i="12"/>
  <c r="H55" i="18"/>
  <c r="W54" i="18"/>
  <c r="O48" i="17"/>
  <c r="Q47" i="18"/>
  <c r="T47" i="18" s="1"/>
  <c r="N48" i="18"/>
  <c r="M50" i="18"/>
  <c r="P49" i="18"/>
  <c r="S49" i="18" s="1"/>
  <c r="O50" i="18"/>
  <c r="R49" i="18"/>
  <c r="U49" i="18" s="1"/>
  <c r="L55" i="18"/>
  <c r="K55" i="18"/>
  <c r="I56" i="18"/>
  <c r="J55" i="18"/>
  <c r="L48" i="17"/>
  <c r="I49" i="17"/>
  <c r="J48" i="17"/>
  <c r="P48" i="17" s="1"/>
  <c r="S48" i="17" s="1"/>
  <c r="K48" i="17"/>
  <c r="N48" i="17"/>
  <c r="Q47" i="17"/>
  <c r="T47" i="17" s="1"/>
  <c r="H49" i="17"/>
  <c r="W48" i="17"/>
  <c r="M49" i="17" s="1"/>
  <c r="Q27" i="12"/>
  <c r="T27" i="12" s="1"/>
  <c r="O28" i="11"/>
  <c r="W28" i="11"/>
  <c r="H29" i="11"/>
  <c r="R28" i="12"/>
  <c r="U28" i="12" s="1"/>
  <c r="M28" i="12"/>
  <c r="P27" i="12"/>
  <c r="S27" i="12" s="1"/>
  <c r="I49" i="12"/>
  <c r="J48" i="12"/>
  <c r="L48" i="12"/>
  <c r="K48" i="12"/>
  <c r="K41" i="11"/>
  <c r="L41" i="11"/>
  <c r="J41" i="11"/>
  <c r="I42" i="11"/>
  <c r="H36" i="12"/>
  <c r="W35" i="12"/>
  <c r="O36" i="12" s="1"/>
  <c r="F51" i="12"/>
  <c r="P25" i="11" l="1"/>
  <c r="S25" i="11" s="1"/>
  <c r="M26" i="11"/>
  <c r="K40" i="20"/>
  <c r="J40" i="20"/>
  <c r="I41" i="20"/>
  <c r="L40" i="20"/>
  <c r="N27" i="11"/>
  <c r="Q26" i="11"/>
  <c r="T26" i="11" s="1"/>
  <c r="M26" i="20"/>
  <c r="P25" i="20"/>
  <c r="S25" i="20" s="1"/>
  <c r="I48" i="21"/>
  <c r="L47" i="21"/>
  <c r="K47" i="21"/>
  <c r="J47" i="21"/>
  <c r="N28" i="20"/>
  <c r="N29" i="20" s="1"/>
  <c r="Q27" i="21"/>
  <c r="T27" i="21" s="1"/>
  <c r="N28" i="21"/>
  <c r="W35" i="21"/>
  <c r="H36" i="21"/>
  <c r="O28" i="21"/>
  <c r="R27" i="21"/>
  <c r="U27" i="21" s="1"/>
  <c r="H29" i="20"/>
  <c r="R28" i="20"/>
  <c r="U28" i="20" s="1"/>
  <c r="W28" i="20"/>
  <c r="O29" i="20" s="1"/>
  <c r="M28" i="21"/>
  <c r="P27" i="21"/>
  <c r="S27" i="21" s="1"/>
  <c r="Q28" i="20"/>
  <c r="T28" i="20" s="1"/>
  <c r="N36" i="12"/>
  <c r="R48" i="17"/>
  <c r="U48" i="17" s="1"/>
  <c r="W55" i="18"/>
  <c r="H56" i="18"/>
  <c r="M51" i="18"/>
  <c r="P50" i="18"/>
  <c r="S50" i="18" s="1"/>
  <c r="I57" i="18"/>
  <c r="K56" i="18"/>
  <c r="J56" i="18"/>
  <c r="L56" i="18"/>
  <c r="O51" i="18"/>
  <c r="R50" i="18"/>
  <c r="U50" i="18" s="1"/>
  <c r="Q48" i="18"/>
  <c r="T48" i="18" s="1"/>
  <c r="N49" i="18"/>
  <c r="H50" i="17"/>
  <c r="W49" i="17"/>
  <c r="M50" i="17" s="1"/>
  <c r="N49" i="17"/>
  <c r="Q48" i="17"/>
  <c r="T48" i="17" s="1"/>
  <c r="J49" i="17"/>
  <c r="P49" i="17" s="1"/>
  <c r="S49" i="17" s="1"/>
  <c r="I50" i="17"/>
  <c r="K49" i="17"/>
  <c r="L49" i="17"/>
  <c r="O49" i="17"/>
  <c r="L42" i="11"/>
  <c r="I43" i="11"/>
  <c r="K42" i="11"/>
  <c r="J42" i="11"/>
  <c r="H30" i="11"/>
  <c r="W29" i="11"/>
  <c r="M29" i="12"/>
  <c r="P28" i="12"/>
  <c r="S28" i="12" s="1"/>
  <c r="Q28" i="12"/>
  <c r="T28" i="12" s="1"/>
  <c r="H37" i="12"/>
  <c r="W36" i="12"/>
  <c r="O37" i="12" s="1"/>
  <c r="L49" i="12"/>
  <c r="J49" i="12"/>
  <c r="I50" i="12"/>
  <c r="K49" i="12"/>
  <c r="R29" i="12"/>
  <c r="U29" i="12" s="1"/>
  <c r="R28" i="11"/>
  <c r="U28" i="11" s="1"/>
  <c r="O29" i="11"/>
  <c r="F52" i="12"/>
  <c r="K48" i="21" l="1"/>
  <c r="L48" i="21"/>
  <c r="I49" i="21"/>
  <c r="J48" i="21"/>
  <c r="Q27" i="11"/>
  <c r="T27" i="11" s="1"/>
  <c r="N28" i="11"/>
  <c r="M27" i="20"/>
  <c r="P26" i="20"/>
  <c r="S26" i="20" s="1"/>
  <c r="P26" i="11"/>
  <c r="S26" i="11" s="1"/>
  <c r="M27" i="11"/>
  <c r="K41" i="20"/>
  <c r="L41" i="20"/>
  <c r="I42" i="20"/>
  <c r="J41" i="20"/>
  <c r="W29" i="20"/>
  <c r="O30" i="20" s="1"/>
  <c r="H30" i="20"/>
  <c r="R29" i="20"/>
  <c r="U29" i="20" s="1"/>
  <c r="M29" i="21"/>
  <c r="P28" i="21"/>
  <c r="S28" i="21" s="1"/>
  <c r="W36" i="21"/>
  <c r="H37" i="21"/>
  <c r="O29" i="21"/>
  <c r="R28" i="21"/>
  <c r="U28" i="21" s="1"/>
  <c r="Q28" i="21"/>
  <c r="T28" i="21" s="1"/>
  <c r="N29" i="21"/>
  <c r="Q29" i="20"/>
  <c r="T29" i="20" s="1"/>
  <c r="N37" i="12"/>
  <c r="H57" i="18"/>
  <c r="W56" i="18"/>
  <c r="O50" i="17"/>
  <c r="Q49" i="18"/>
  <c r="T49" i="18" s="1"/>
  <c r="N50" i="18"/>
  <c r="M52" i="18"/>
  <c r="P51" i="18"/>
  <c r="S51" i="18" s="1"/>
  <c r="O52" i="18"/>
  <c r="R51" i="18"/>
  <c r="U51" i="18" s="1"/>
  <c r="J57" i="18"/>
  <c r="I58" i="18"/>
  <c r="L57" i="18"/>
  <c r="K57" i="18"/>
  <c r="R49" i="17"/>
  <c r="U49" i="17" s="1"/>
  <c r="N50" i="17"/>
  <c r="Q49" i="17"/>
  <c r="T49" i="17" s="1"/>
  <c r="W50" i="17"/>
  <c r="M51" i="17" s="1"/>
  <c r="H51" i="17"/>
  <c r="L50" i="17"/>
  <c r="R50" i="17" s="1"/>
  <c r="U50" i="17" s="1"/>
  <c r="I51" i="17"/>
  <c r="J50" i="17"/>
  <c r="P50" i="17" s="1"/>
  <c r="S50" i="17" s="1"/>
  <c r="K50" i="17"/>
  <c r="O30" i="11"/>
  <c r="R30" i="11" s="1"/>
  <c r="U30" i="11" s="1"/>
  <c r="R29" i="11"/>
  <c r="U29" i="11" s="1"/>
  <c r="W37" i="12"/>
  <c r="O38" i="12" s="1"/>
  <c r="H38" i="12"/>
  <c r="L43" i="11"/>
  <c r="J43" i="11"/>
  <c r="I44" i="11"/>
  <c r="K43" i="11"/>
  <c r="Q29" i="12"/>
  <c r="T29" i="12" s="1"/>
  <c r="R30" i="12"/>
  <c r="U30" i="12" s="1"/>
  <c r="I51" i="12"/>
  <c r="J50" i="12"/>
  <c r="L50" i="12"/>
  <c r="K50" i="12"/>
  <c r="M30" i="12"/>
  <c r="P29" i="12"/>
  <c r="S29" i="12" s="1"/>
  <c r="H31" i="11"/>
  <c r="W30" i="11"/>
  <c r="F53" i="12"/>
  <c r="M28" i="20" l="1"/>
  <c r="P27" i="20"/>
  <c r="S27" i="20" s="1"/>
  <c r="I50" i="21"/>
  <c r="K49" i="21"/>
  <c r="L49" i="21"/>
  <c r="J49" i="21"/>
  <c r="I43" i="20"/>
  <c r="J42" i="20"/>
  <c r="K42" i="20"/>
  <c r="L42" i="20"/>
  <c r="P27" i="11"/>
  <c r="S27" i="11" s="1"/>
  <c r="M28" i="11"/>
  <c r="N29" i="11"/>
  <c r="Q28" i="11"/>
  <c r="T28" i="11" s="1"/>
  <c r="Q29" i="21"/>
  <c r="T29" i="21" s="1"/>
  <c r="N30" i="21"/>
  <c r="M30" i="21"/>
  <c r="P29" i="21"/>
  <c r="S29" i="21" s="1"/>
  <c r="N30" i="20"/>
  <c r="H38" i="21"/>
  <c r="W37" i="21"/>
  <c r="O30" i="21"/>
  <c r="R29" i="21"/>
  <c r="U29" i="21" s="1"/>
  <c r="W30" i="20"/>
  <c r="O31" i="20" s="1"/>
  <c r="H31" i="20"/>
  <c r="R30" i="20"/>
  <c r="U30" i="20" s="1"/>
  <c r="Q30" i="20"/>
  <c r="T30" i="20" s="1"/>
  <c r="N38" i="12"/>
  <c r="H58" i="18"/>
  <c r="W57" i="18"/>
  <c r="I59" i="18"/>
  <c r="K58" i="18"/>
  <c r="L58" i="18"/>
  <c r="J58" i="18"/>
  <c r="O53" i="18"/>
  <c r="R52" i="18"/>
  <c r="U52" i="18" s="1"/>
  <c r="N51" i="18"/>
  <c r="Q50" i="18"/>
  <c r="T50" i="18" s="1"/>
  <c r="M53" i="18"/>
  <c r="P52" i="18"/>
  <c r="S52" i="18" s="1"/>
  <c r="N51" i="17"/>
  <c r="Q50" i="17"/>
  <c r="T50" i="17" s="1"/>
  <c r="J51" i="17"/>
  <c r="P51" i="17" s="1"/>
  <c r="S51" i="17" s="1"/>
  <c r="L51" i="17"/>
  <c r="K51" i="17"/>
  <c r="I52" i="17"/>
  <c r="O51" i="17"/>
  <c r="H52" i="17"/>
  <c r="W51" i="17"/>
  <c r="M52" i="17" s="1"/>
  <c r="H32" i="11"/>
  <c r="W31" i="11"/>
  <c r="R31" i="12"/>
  <c r="U31" i="12" s="1"/>
  <c r="K44" i="11"/>
  <c r="J44" i="11"/>
  <c r="L44" i="11"/>
  <c r="I45" i="11"/>
  <c r="O31" i="11"/>
  <c r="R31" i="11" s="1"/>
  <c r="U31" i="11" s="1"/>
  <c r="H39" i="12"/>
  <c r="W38" i="12"/>
  <c r="O39" i="12" s="1"/>
  <c r="M31" i="12"/>
  <c r="P30" i="12"/>
  <c r="S30" i="12" s="1"/>
  <c r="L51" i="12"/>
  <c r="J51" i="12"/>
  <c r="I52" i="12"/>
  <c r="K51" i="12"/>
  <c r="Q30" i="12"/>
  <c r="T30" i="12" s="1"/>
  <c r="F54" i="12"/>
  <c r="L43" i="20" l="1"/>
  <c r="K43" i="20"/>
  <c r="I44" i="20"/>
  <c r="J43" i="20"/>
  <c r="L50" i="21"/>
  <c r="I51" i="21"/>
  <c r="K50" i="21"/>
  <c r="J50" i="21"/>
  <c r="N30" i="11"/>
  <c r="Q29" i="11"/>
  <c r="T29" i="11" s="1"/>
  <c r="M29" i="20"/>
  <c r="P28" i="20"/>
  <c r="S28" i="20" s="1"/>
  <c r="P28" i="11"/>
  <c r="S28" i="11" s="1"/>
  <c r="M29" i="11"/>
  <c r="N31" i="20"/>
  <c r="W31" i="20"/>
  <c r="O32" i="20" s="1"/>
  <c r="H32" i="20"/>
  <c r="R31" i="20"/>
  <c r="U31" i="20" s="1"/>
  <c r="M31" i="21"/>
  <c r="P30" i="21"/>
  <c r="S30" i="21" s="1"/>
  <c r="O31" i="21"/>
  <c r="R30" i="21"/>
  <c r="U30" i="21" s="1"/>
  <c r="W38" i="21"/>
  <c r="H39" i="21"/>
  <c r="Q30" i="21"/>
  <c r="T30" i="21" s="1"/>
  <c r="N31" i="21"/>
  <c r="Q31" i="20"/>
  <c r="T31" i="20" s="1"/>
  <c r="N39" i="12"/>
  <c r="W58" i="18"/>
  <c r="H59" i="18"/>
  <c r="Q51" i="18"/>
  <c r="T51" i="18" s="1"/>
  <c r="N52" i="18"/>
  <c r="M54" i="18"/>
  <c r="P53" i="18"/>
  <c r="S53" i="18" s="1"/>
  <c r="O54" i="18"/>
  <c r="R53" i="18"/>
  <c r="U53" i="18" s="1"/>
  <c r="J59" i="18"/>
  <c r="I60" i="18"/>
  <c r="K59" i="18"/>
  <c r="L59" i="18"/>
  <c r="O52" i="17"/>
  <c r="R51" i="17"/>
  <c r="U51" i="17" s="1"/>
  <c r="L52" i="17"/>
  <c r="J52" i="17"/>
  <c r="P52" i="17" s="1"/>
  <c r="S52" i="17" s="1"/>
  <c r="I53" i="17"/>
  <c r="K52" i="17"/>
  <c r="Q51" i="17"/>
  <c r="T51" i="17" s="1"/>
  <c r="N52" i="17"/>
  <c r="H53" i="17"/>
  <c r="W52" i="17"/>
  <c r="M53" i="17" s="1"/>
  <c r="O32" i="11"/>
  <c r="R32" i="11" s="1"/>
  <c r="U32" i="11" s="1"/>
  <c r="Q31" i="12"/>
  <c r="T31" i="12" s="1"/>
  <c r="W39" i="12"/>
  <c r="O40" i="12" s="1"/>
  <c r="H40" i="12"/>
  <c r="J52" i="12"/>
  <c r="I53" i="12"/>
  <c r="L52" i="12"/>
  <c r="K52" i="12"/>
  <c r="M32" i="12"/>
  <c r="P31" i="12"/>
  <c r="S31" i="12" s="1"/>
  <c r="K45" i="11"/>
  <c r="L45" i="11"/>
  <c r="J45" i="11"/>
  <c r="I46" i="11"/>
  <c r="R32" i="12"/>
  <c r="U32" i="12" s="1"/>
  <c r="H33" i="11"/>
  <c r="W32" i="11"/>
  <c r="F55" i="12"/>
  <c r="P29" i="11" l="1"/>
  <c r="S29" i="11" s="1"/>
  <c r="M30" i="11"/>
  <c r="M30" i="20"/>
  <c r="P29" i="20"/>
  <c r="S29" i="20" s="1"/>
  <c r="K44" i="20"/>
  <c r="J44" i="20"/>
  <c r="I45" i="20"/>
  <c r="L44" i="20"/>
  <c r="L51" i="21"/>
  <c r="K51" i="21"/>
  <c r="I52" i="21"/>
  <c r="J51" i="21"/>
  <c r="Q30" i="11"/>
  <c r="T30" i="11" s="1"/>
  <c r="N31" i="11"/>
  <c r="M32" i="21"/>
  <c r="P31" i="21"/>
  <c r="S31" i="21" s="1"/>
  <c r="N32" i="20"/>
  <c r="O32" i="21"/>
  <c r="R31" i="21"/>
  <c r="U31" i="21" s="1"/>
  <c r="Q31" i="21"/>
  <c r="T31" i="21" s="1"/>
  <c r="N32" i="21"/>
  <c r="W39" i="21"/>
  <c r="H40" i="21"/>
  <c r="H33" i="20"/>
  <c r="W32" i="20"/>
  <c r="O33" i="20" s="1"/>
  <c r="R32" i="20"/>
  <c r="U32" i="20" s="1"/>
  <c r="Q32" i="20"/>
  <c r="T32" i="20" s="1"/>
  <c r="N40" i="12"/>
  <c r="H60" i="18"/>
  <c r="W59" i="18"/>
  <c r="M55" i="18"/>
  <c r="P54" i="18"/>
  <c r="S54" i="18" s="1"/>
  <c r="O55" i="18"/>
  <c r="R54" i="18"/>
  <c r="U54" i="18" s="1"/>
  <c r="I61" i="18"/>
  <c r="K60" i="18"/>
  <c r="J60" i="18"/>
  <c r="L60" i="18"/>
  <c r="Q52" i="18"/>
  <c r="T52" i="18" s="1"/>
  <c r="N53" i="18"/>
  <c r="R52" i="17"/>
  <c r="U52" i="17" s="1"/>
  <c r="H54" i="17"/>
  <c r="W53" i="17"/>
  <c r="M54" i="17" s="1"/>
  <c r="O53" i="17"/>
  <c r="N53" i="17"/>
  <c r="Q52" i="17"/>
  <c r="T52" i="17" s="1"/>
  <c r="J53" i="17"/>
  <c r="P53" i="17" s="1"/>
  <c r="S53" i="17" s="1"/>
  <c r="L53" i="17"/>
  <c r="R53" i="17" s="1"/>
  <c r="U53" i="17" s="1"/>
  <c r="K53" i="17"/>
  <c r="I54" i="17"/>
  <c r="R33" i="12"/>
  <c r="U33" i="12" s="1"/>
  <c r="M33" i="12"/>
  <c r="P32" i="12"/>
  <c r="S32" i="12" s="1"/>
  <c r="H41" i="12"/>
  <c r="W40" i="12"/>
  <c r="O41" i="12" s="1"/>
  <c r="H34" i="11"/>
  <c r="W33" i="11"/>
  <c r="O33" i="11"/>
  <c r="K46" i="11"/>
  <c r="J46" i="11"/>
  <c r="L46" i="11"/>
  <c r="I47" i="11"/>
  <c r="L53" i="12"/>
  <c r="J53" i="12"/>
  <c r="I54" i="12"/>
  <c r="K53" i="12"/>
  <c r="Q32" i="12"/>
  <c r="T32" i="12" s="1"/>
  <c r="F56" i="12"/>
  <c r="N32" i="11" l="1"/>
  <c r="Q31" i="11"/>
  <c r="T31" i="11" s="1"/>
  <c r="L52" i="21"/>
  <c r="I53" i="21"/>
  <c r="J52" i="21"/>
  <c r="K52" i="21"/>
  <c r="L45" i="20"/>
  <c r="I46" i="20"/>
  <c r="K45" i="20"/>
  <c r="J45" i="20"/>
  <c r="M31" i="20"/>
  <c r="P30" i="20"/>
  <c r="S30" i="20" s="1"/>
  <c r="P30" i="11"/>
  <c r="S30" i="11" s="1"/>
  <c r="M31" i="11"/>
  <c r="N33" i="20"/>
  <c r="Q33" i="20" s="1"/>
  <c r="T33" i="20" s="1"/>
  <c r="H34" i="20"/>
  <c r="W33" i="20"/>
  <c r="O34" i="20" s="1"/>
  <c r="R33" i="20"/>
  <c r="U33" i="20" s="1"/>
  <c r="O33" i="21"/>
  <c r="R32" i="21"/>
  <c r="U32" i="21" s="1"/>
  <c r="N41" i="12"/>
  <c r="Q32" i="21"/>
  <c r="T32" i="21" s="1"/>
  <c r="N33" i="21"/>
  <c r="H41" i="21"/>
  <c r="W40" i="21"/>
  <c r="M33" i="21"/>
  <c r="P32" i="21"/>
  <c r="S32" i="21" s="1"/>
  <c r="W60" i="18"/>
  <c r="H61" i="18"/>
  <c r="W61" i="18" s="1"/>
  <c r="O54" i="17"/>
  <c r="O56" i="18"/>
  <c r="R55" i="18"/>
  <c r="U55" i="18" s="1"/>
  <c r="Q53" i="18"/>
  <c r="T53" i="18" s="1"/>
  <c r="N54" i="18"/>
  <c r="K61" i="18"/>
  <c r="L61" i="18"/>
  <c r="J61" i="18"/>
  <c r="M56" i="18"/>
  <c r="P55" i="18"/>
  <c r="S55" i="18" s="1"/>
  <c r="L54" i="17"/>
  <c r="I55" i="17"/>
  <c r="K54" i="17"/>
  <c r="J54" i="17"/>
  <c r="P54" i="17" s="1"/>
  <c r="S54" i="17" s="1"/>
  <c r="N54" i="17"/>
  <c r="Q53" i="17"/>
  <c r="T53" i="17" s="1"/>
  <c r="W54" i="17"/>
  <c r="M55" i="17" s="1"/>
  <c r="H55" i="17"/>
  <c r="K47" i="11"/>
  <c r="L47" i="11"/>
  <c r="J47" i="11"/>
  <c r="I48" i="11"/>
  <c r="R33" i="11"/>
  <c r="U33" i="11" s="1"/>
  <c r="O34" i="11"/>
  <c r="Q33" i="12"/>
  <c r="T33" i="12" s="1"/>
  <c r="M34" i="12"/>
  <c r="P33" i="12"/>
  <c r="S33" i="12" s="1"/>
  <c r="J54" i="12"/>
  <c r="L54" i="12"/>
  <c r="I55" i="12"/>
  <c r="K54" i="12"/>
  <c r="W34" i="11"/>
  <c r="H35" i="11"/>
  <c r="H42" i="12"/>
  <c r="W41" i="12"/>
  <c r="O42" i="12" s="1"/>
  <c r="R34" i="12"/>
  <c r="U34" i="12" s="1"/>
  <c r="F57" i="12"/>
  <c r="P31" i="20" l="1"/>
  <c r="S31" i="20" s="1"/>
  <c r="M32" i="20"/>
  <c r="P31" i="11"/>
  <c r="S31" i="11" s="1"/>
  <c r="M32" i="11"/>
  <c r="N33" i="11"/>
  <c r="Q32" i="11"/>
  <c r="T32" i="11" s="1"/>
  <c r="N34" i="20"/>
  <c r="J46" i="20"/>
  <c r="I47" i="20"/>
  <c r="L46" i="20"/>
  <c r="K46" i="20"/>
  <c r="J53" i="21"/>
  <c r="L53" i="21"/>
  <c r="K53" i="21"/>
  <c r="I54" i="21"/>
  <c r="M34" i="21"/>
  <c r="P33" i="21"/>
  <c r="S33" i="21" s="1"/>
  <c r="W41" i="21"/>
  <c r="H42" i="21"/>
  <c r="N34" i="21"/>
  <c r="Q33" i="21"/>
  <c r="T33" i="21" s="1"/>
  <c r="O34" i="21"/>
  <c r="R33" i="21"/>
  <c r="U33" i="21" s="1"/>
  <c r="H35" i="20"/>
  <c r="W34" i="20"/>
  <c r="O35" i="20" s="1"/>
  <c r="R34" i="20"/>
  <c r="U34" i="20" s="1"/>
  <c r="Q34" i="20"/>
  <c r="T34" i="20" s="1"/>
  <c r="R54" i="17"/>
  <c r="U54" i="17" s="1"/>
  <c r="N42" i="12"/>
  <c r="O57" i="18"/>
  <c r="R56" i="18"/>
  <c r="U56" i="18" s="1"/>
  <c r="M57" i="18"/>
  <c r="P56" i="18"/>
  <c r="S56" i="18" s="1"/>
  <c r="N55" i="18"/>
  <c r="Q54" i="18"/>
  <c r="T54" i="18" s="1"/>
  <c r="O55" i="17"/>
  <c r="H56" i="17"/>
  <c r="W55" i="17"/>
  <c r="M56" i="17" s="1"/>
  <c r="J55" i="17"/>
  <c r="P55" i="17" s="1"/>
  <c r="S55" i="17" s="1"/>
  <c r="K55" i="17"/>
  <c r="I56" i="17"/>
  <c r="L55" i="17"/>
  <c r="N55" i="17"/>
  <c r="Q54" i="17"/>
  <c r="T54" i="17" s="1"/>
  <c r="O35" i="11"/>
  <c r="R35" i="11" s="1"/>
  <c r="U35" i="11" s="1"/>
  <c r="R34" i="11"/>
  <c r="U34" i="11" s="1"/>
  <c r="I49" i="11"/>
  <c r="K48" i="11"/>
  <c r="J48" i="11"/>
  <c r="L48" i="11"/>
  <c r="H36" i="11"/>
  <c r="W35" i="11"/>
  <c r="Q34" i="12"/>
  <c r="T34" i="12" s="1"/>
  <c r="R35" i="12"/>
  <c r="U35" i="12" s="1"/>
  <c r="H43" i="12"/>
  <c r="W42" i="12"/>
  <c r="O43" i="12" s="1"/>
  <c r="J55" i="12"/>
  <c r="L55" i="12"/>
  <c r="I56" i="12"/>
  <c r="K55" i="12"/>
  <c r="M35" i="12"/>
  <c r="P34" i="12"/>
  <c r="S34" i="12" s="1"/>
  <c r="F58" i="12"/>
  <c r="J54" i="21" l="1"/>
  <c r="L54" i="21"/>
  <c r="K54" i="21"/>
  <c r="I55" i="21"/>
  <c r="P32" i="20"/>
  <c r="S32" i="20" s="1"/>
  <c r="M33" i="20"/>
  <c r="J47" i="20"/>
  <c r="I48" i="20"/>
  <c r="K47" i="20"/>
  <c r="L47" i="20"/>
  <c r="Q33" i="11"/>
  <c r="T33" i="11" s="1"/>
  <c r="N34" i="11"/>
  <c r="P32" i="11"/>
  <c r="S32" i="11" s="1"/>
  <c r="M33" i="11"/>
  <c r="O35" i="21"/>
  <c r="R34" i="21"/>
  <c r="U34" i="21" s="1"/>
  <c r="H36" i="20"/>
  <c r="W35" i="20"/>
  <c r="O36" i="20" s="1"/>
  <c r="R35" i="20"/>
  <c r="U35" i="20" s="1"/>
  <c r="H43" i="21"/>
  <c r="W42" i="21"/>
  <c r="N35" i="20"/>
  <c r="Q35" i="20" s="1"/>
  <c r="T35" i="20" s="1"/>
  <c r="Q34" i="21"/>
  <c r="T34" i="21" s="1"/>
  <c r="N35" i="21"/>
  <c r="M35" i="21"/>
  <c r="P34" i="21"/>
  <c r="S34" i="21" s="1"/>
  <c r="O56" i="17"/>
  <c r="N43" i="12"/>
  <c r="Q55" i="18"/>
  <c r="T55" i="18" s="1"/>
  <c r="N56" i="18"/>
  <c r="O58" i="18"/>
  <c r="R57" i="18"/>
  <c r="U57" i="18" s="1"/>
  <c r="M58" i="18"/>
  <c r="P57" i="18"/>
  <c r="S57" i="18" s="1"/>
  <c r="R55" i="17"/>
  <c r="U55" i="17" s="1"/>
  <c r="L56" i="17"/>
  <c r="R56" i="17" s="1"/>
  <c r="U56" i="17" s="1"/>
  <c r="K56" i="17"/>
  <c r="I57" i="17"/>
  <c r="J56" i="17"/>
  <c r="P56" i="17" s="1"/>
  <c r="S56" i="17" s="1"/>
  <c r="N56" i="17"/>
  <c r="Q55" i="17"/>
  <c r="T55" i="17" s="1"/>
  <c r="H57" i="17"/>
  <c r="W56" i="17"/>
  <c r="M57" i="17" s="1"/>
  <c r="M36" i="12"/>
  <c r="P35" i="12"/>
  <c r="S35" i="12" s="1"/>
  <c r="W43" i="12"/>
  <c r="O44" i="12" s="1"/>
  <c r="H44" i="12"/>
  <c r="O36" i="11"/>
  <c r="J49" i="11"/>
  <c r="K49" i="11"/>
  <c r="I50" i="11"/>
  <c r="L49" i="11"/>
  <c r="L56" i="12"/>
  <c r="I57" i="12"/>
  <c r="J56" i="12"/>
  <c r="K56" i="12"/>
  <c r="R36" i="12"/>
  <c r="U36" i="12" s="1"/>
  <c r="W36" i="11"/>
  <c r="H37" i="11"/>
  <c r="Q35" i="12"/>
  <c r="T35" i="12" s="1"/>
  <c r="F59" i="12"/>
  <c r="J55" i="21" l="1"/>
  <c r="L55" i="21"/>
  <c r="K55" i="21"/>
  <c r="I56" i="21"/>
  <c r="P33" i="11"/>
  <c r="S33" i="11" s="1"/>
  <c r="M34" i="11"/>
  <c r="M34" i="20"/>
  <c r="P33" i="20"/>
  <c r="S33" i="20" s="1"/>
  <c r="N35" i="11"/>
  <c r="Q34" i="11"/>
  <c r="T34" i="11" s="1"/>
  <c r="L48" i="20"/>
  <c r="K48" i="20"/>
  <c r="J48" i="20"/>
  <c r="I49" i="20"/>
  <c r="N36" i="20"/>
  <c r="N37" i="20" s="1"/>
  <c r="Q35" i="21"/>
  <c r="T35" i="21" s="1"/>
  <c r="N36" i="21"/>
  <c r="R36" i="20"/>
  <c r="U36" i="20" s="1"/>
  <c r="H37" i="20"/>
  <c r="W36" i="20"/>
  <c r="O37" i="20" s="1"/>
  <c r="W43" i="21"/>
  <c r="H44" i="21"/>
  <c r="M36" i="21"/>
  <c r="P35" i="21"/>
  <c r="S35" i="21" s="1"/>
  <c r="O36" i="21"/>
  <c r="R35" i="21"/>
  <c r="U35" i="21" s="1"/>
  <c r="Q36" i="20"/>
  <c r="T36" i="20" s="1"/>
  <c r="N44" i="12"/>
  <c r="O59" i="18"/>
  <c r="R58" i="18"/>
  <c r="U58" i="18" s="1"/>
  <c r="N57" i="18"/>
  <c r="Q56" i="18"/>
  <c r="T56" i="18" s="1"/>
  <c r="M59" i="18"/>
  <c r="P58" i="18"/>
  <c r="S58" i="18" s="1"/>
  <c r="O57" i="17"/>
  <c r="J57" i="17"/>
  <c r="P57" i="17" s="1"/>
  <c r="S57" i="17" s="1"/>
  <c r="I58" i="17"/>
  <c r="K57" i="17"/>
  <c r="L57" i="17"/>
  <c r="R57" i="17" s="1"/>
  <c r="U57" i="17" s="1"/>
  <c r="H58" i="17"/>
  <c r="W57" i="17"/>
  <c r="M58" i="17" s="1"/>
  <c r="N57" i="17"/>
  <c r="Q56" i="17"/>
  <c r="T56" i="17" s="1"/>
  <c r="H38" i="11"/>
  <c r="W37" i="11"/>
  <c r="H45" i="12"/>
  <c r="W44" i="12"/>
  <c r="O45" i="12" s="1"/>
  <c r="R36" i="11"/>
  <c r="U36" i="11" s="1"/>
  <c r="O37" i="11"/>
  <c r="R37" i="11" s="1"/>
  <c r="U37" i="11" s="1"/>
  <c r="I51" i="11"/>
  <c r="J50" i="11"/>
  <c r="L50" i="11"/>
  <c r="K50" i="11"/>
  <c r="R37" i="12"/>
  <c r="U37" i="12" s="1"/>
  <c r="Q36" i="12"/>
  <c r="T36" i="12" s="1"/>
  <c r="J57" i="12"/>
  <c r="I58" i="12"/>
  <c r="L57" i="12"/>
  <c r="K57" i="12"/>
  <c r="M37" i="12"/>
  <c r="P36" i="12"/>
  <c r="S36" i="12" s="1"/>
  <c r="F60" i="12"/>
  <c r="K49" i="20" l="1"/>
  <c r="J49" i="20"/>
  <c r="I50" i="20"/>
  <c r="L49" i="20"/>
  <c r="P34" i="20"/>
  <c r="S34" i="20" s="1"/>
  <c r="M35" i="20"/>
  <c r="K56" i="21"/>
  <c r="J56" i="21"/>
  <c r="L56" i="21"/>
  <c r="I57" i="21"/>
  <c r="P34" i="11"/>
  <c r="S34" i="11" s="1"/>
  <c r="M35" i="11"/>
  <c r="Q35" i="11"/>
  <c r="T35" i="11" s="1"/>
  <c r="N36" i="11"/>
  <c r="O37" i="21"/>
  <c r="R36" i="21"/>
  <c r="U36" i="21" s="1"/>
  <c r="H45" i="21"/>
  <c r="W44" i="21"/>
  <c r="M37" i="21"/>
  <c r="P36" i="21"/>
  <c r="S36" i="21" s="1"/>
  <c r="N37" i="21"/>
  <c r="Q36" i="21"/>
  <c r="T36" i="21" s="1"/>
  <c r="W37" i="20"/>
  <c r="O38" i="20" s="1"/>
  <c r="H38" i="20"/>
  <c r="R37" i="20"/>
  <c r="U37" i="20" s="1"/>
  <c r="Q37" i="20"/>
  <c r="T37" i="20" s="1"/>
  <c r="N45" i="12"/>
  <c r="Q57" i="18"/>
  <c r="T57" i="18" s="1"/>
  <c r="N58" i="18"/>
  <c r="M60" i="18"/>
  <c r="P59" i="18"/>
  <c r="S59" i="18" s="1"/>
  <c r="O60" i="18"/>
  <c r="R59" i="18"/>
  <c r="U59" i="18" s="1"/>
  <c r="L58" i="17"/>
  <c r="K58" i="17"/>
  <c r="I59" i="17"/>
  <c r="J58" i="17"/>
  <c r="P58" i="17" s="1"/>
  <c r="S58" i="17" s="1"/>
  <c r="N58" i="17"/>
  <c r="Q57" i="17"/>
  <c r="T57" i="17" s="1"/>
  <c r="H59" i="17"/>
  <c r="W58" i="17"/>
  <c r="M59" i="17" s="1"/>
  <c r="O58" i="17"/>
  <c r="L51" i="11"/>
  <c r="K51" i="11"/>
  <c r="I52" i="11"/>
  <c r="J51" i="11"/>
  <c r="I59" i="12"/>
  <c r="J58" i="12"/>
  <c r="L58" i="12"/>
  <c r="K58" i="12"/>
  <c r="O38" i="11"/>
  <c r="R38" i="11" s="1"/>
  <c r="U38" i="11" s="1"/>
  <c r="W38" i="11"/>
  <c r="H39" i="11"/>
  <c r="Q37" i="12"/>
  <c r="T37" i="12" s="1"/>
  <c r="M38" i="12"/>
  <c r="P37" i="12"/>
  <c r="S37" i="12" s="1"/>
  <c r="R38" i="12"/>
  <c r="U38" i="12" s="1"/>
  <c r="H46" i="12"/>
  <c r="W45" i="12"/>
  <c r="O46" i="12" s="1"/>
  <c r="F61" i="12"/>
  <c r="U66" i="18" l="1"/>
  <c r="R66" i="18" s="1"/>
  <c r="H64" i="16" s="1"/>
  <c r="P35" i="11"/>
  <c r="S35" i="11" s="1"/>
  <c r="M36" i="11"/>
  <c r="L50" i="20"/>
  <c r="I51" i="20"/>
  <c r="K50" i="20"/>
  <c r="J50" i="20"/>
  <c r="N37" i="11"/>
  <c r="Q36" i="11"/>
  <c r="T36" i="11" s="1"/>
  <c r="L57" i="21"/>
  <c r="I58" i="21"/>
  <c r="J57" i="21"/>
  <c r="K57" i="21"/>
  <c r="M36" i="20"/>
  <c r="P35" i="20"/>
  <c r="S35" i="20" s="1"/>
  <c r="S64" i="18"/>
  <c r="P64" i="18" s="1"/>
  <c r="H62" i="16" s="1"/>
  <c r="N38" i="20"/>
  <c r="H39" i="20"/>
  <c r="W38" i="20"/>
  <c r="R38" i="20"/>
  <c r="U38" i="20" s="1"/>
  <c r="M38" i="21"/>
  <c r="P37" i="21"/>
  <c r="S37" i="21" s="1"/>
  <c r="O39" i="20"/>
  <c r="H46" i="21"/>
  <c r="W45" i="21"/>
  <c r="N38" i="21"/>
  <c r="Q37" i="21"/>
  <c r="T37" i="21" s="1"/>
  <c r="O38" i="21"/>
  <c r="R37" i="21"/>
  <c r="U37" i="21" s="1"/>
  <c r="N46" i="12"/>
  <c r="M61" i="18"/>
  <c r="P61" i="18" s="1"/>
  <c r="S61" i="18" s="1"/>
  <c r="P60" i="18"/>
  <c r="S60" i="18" s="1"/>
  <c r="Q58" i="18"/>
  <c r="T58" i="18" s="1"/>
  <c r="N59" i="18"/>
  <c r="O61" i="18"/>
  <c r="R61" i="18" s="1"/>
  <c r="U61" i="18" s="1"/>
  <c r="R60" i="18"/>
  <c r="U60" i="18" s="1"/>
  <c r="O59" i="17"/>
  <c r="R59" i="17" s="1"/>
  <c r="U59" i="17" s="1"/>
  <c r="J59" i="17"/>
  <c r="P59" i="17" s="1"/>
  <c r="S59" i="17" s="1"/>
  <c r="L59" i="17"/>
  <c r="I60" i="17"/>
  <c r="K59" i="17"/>
  <c r="R58" i="17"/>
  <c r="U58" i="17" s="1"/>
  <c r="N59" i="17"/>
  <c r="Q58" i="17"/>
  <c r="T58" i="17" s="1"/>
  <c r="H60" i="17"/>
  <c r="W59" i="17"/>
  <c r="M60" i="17" s="1"/>
  <c r="R39" i="12"/>
  <c r="U39" i="12" s="1"/>
  <c r="Q38" i="12"/>
  <c r="T38" i="12" s="1"/>
  <c r="I60" i="12"/>
  <c r="L59" i="12"/>
  <c r="J59" i="12"/>
  <c r="K59" i="12"/>
  <c r="H47" i="12"/>
  <c r="W46" i="12"/>
  <c r="O47" i="12" s="1"/>
  <c r="M39" i="12"/>
  <c r="P38" i="12"/>
  <c r="S38" i="12" s="1"/>
  <c r="H40" i="11"/>
  <c r="W39" i="11"/>
  <c r="O39" i="11"/>
  <c r="J52" i="11"/>
  <c r="K52" i="11"/>
  <c r="I53" i="11"/>
  <c r="L52" i="11"/>
  <c r="N39" i="20" l="1"/>
  <c r="K58" i="21"/>
  <c r="J58" i="21"/>
  <c r="L58" i="21"/>
  <c r="I59" i="21"/>
  <c r="P36" i="11"/>
  <c r="S36" i="11" s="1"/>
  <c r="M37" i="11"/>
  <c r="S64" i="17"/>
  <c r="P64" i="17" s="1"/>
  <c r="G62" i="16" s="1"/>
  <c r="M37" i="20"/>
  <c r="P36" i="20"/>
  <c r="S36" i="20" s="1"/>
  <c r="U66" i="17"/>
  <c r="K51" i="20"/>
  <c r="J51" i="20"/>
  <c r="L51" i="20"/>
  <c r="I52" i="20"/>
  <c r="N38" i="11"/>
  <c r="Q37" i="11"/>
  <c r="T37" i="11" s="1"/>
  <c r="Q38" i="20"/>
  <c r="T38" i="20" s="1"/>
  <c r="O39" i="21"/>
  <c r="R38" i="21"/>
  <c r="U38" i="21" s="1"/>
  <c r="M39" i="21"/>
  <c r="P38" i="21"/>
  <c r="S38" i="21" s="1"/>
  <c r="Q38" i="21"/>
  <c r="T38" i="21" s="1"/>
  <c r="N39" i="21"/>
  <c r="W46" i="21"/>
  <c r="H47" i="21"/>
  <c r="W39" i="20"/>
  <c r="O40" i="20" s="1"/>
  <c r="H40" i="20"/>
  <c r="R39" i="20"/>
  <c r="U39" i="20" s="1"/>
  <c r="Q39" i="20"/>
  <c r="T39" i="20" s="1"/>
  <c r="N47" i="12"/>
  <c r="Q59" i="18"/>
  <c r="T59" i="18" s="1"/>
  <c r="N60" i="18"/>
  <c r="R66" i="17"/>
  <c r="G64" i="16" s="1"/>
  <c r="Q59" i="17"/>
  <c r="T59" i="17" s="1"/>
  <c r="N60" i="17"/>
  <c r="H61" i="17"/>
  <c r="W60" i="17"/>
  <c r="M61" i="17" s="1"/>
  <c r="O60" i="17"/>
  <c r="O61" i="17" s="1"/>
  <c r="L60" i="17"/>
  <c r="J60" i="17"/>
  <c r="P60" i="17" s="1"/>
  <c r="S60" i="17" s="1"/>
  <c r="K60" i="17"/>
  <c r="I61" i="17"/>
  <c r="L53" i="11"/>
  <c r="J53" i="11"/>
  <c r="I54" i="11"/>
  <c r="K53" i="11"/>
  <c r="Q39" i="12"/>
  <c r="T39" i="12" s="1"/>
  <c r="M40" i="12"/>
  <c r="P39" i="12"/>
  <c r="S39" i="12" s="1"/>
  <c r="H48" i="12"/>
  <c r="W47" i="12"/>
  <c r="O48" i="12" s="1"/>
  <c r="L60" i="12"/>
  <c r="I61" i="12"/>
  <c r="J60" i="12"/>
  <c r="K60" i="12"/>
  <c r="R39" i="11"/>
  <c r="U39" i="11" s="1"/>
  <c r="O40" i="11"/>
  <c r="R40" i="11" s="1"/>
  <c r="U40" i="11" s="1"/>
  <c r="H41" i="11"/>
  <c r="W40" i="11"/>
  <c r="R40" i="12"/>
  <c r="U40" i="12" s="1"/>
  <c r="T65" i="17" l="1"/>
  <c r="Q65" i="17" s="1"/>
  <c r="G63" i="16" s="1"/>
  <c r="Q65" i="18"/>
  <c r="H63" i="16" s="1"/>
  <c r="T65" i="18"/>
  <c r="P37" i="11"/>
  <c r="S37" i="11" s="1"/>
  <c r="M38" i="11"/>
  <c r="P37" i="20"/>
  <c r="S37" i="20" s="1"/>
  <c r="M38" i="20"/>
  <c r="N39" i="11"/>
  <c r="Q38" i="11"/>
  <c r="T38" i="11" s="1"/>
  <c r="J59" i="21"/>
  <c r="K59" i="21"/>
  <c r="L59" i="21"/>
  <c r="I60" i="21"/>
  <c r="J52" i="20"/>
  <c r="L52" i="20"/>
  <c r="I53" i="20"/>
  <c r="K52" i="20"/>
  <c r="N40" i="20"/>
  <c r="Q40" i="20" s="1"/>
  <c r="T40" i="20" s="1"/>
  <c r="H41" i="20"/>
  <c r="W40" i="20"/>
  <c r="R40" i="20"/>
  <c r="U40" i="20" s="1"/>
  <c r="W47" i="21"/>
  <c r="H48" i="21"/>
  <c r="O41" i="20"/>
  <c r="M40" i="21"/>
  <c r="P39" i="21"/>
  <c r="S39" i="21" s="1"/>
  <c r="N40" i="21"/>
  <c r="Q39" i="21"/>
  <c r="T39" i="21" s="1"/>
  <c r="O40" i="21"/>
  <c r="R39" i="21"/>
  <c r="U39" i="21" s="1"/>
  <c r="N48" i="12"/>
  <c r="Q60" i="18"/>
  <c r="T60" i="18" s="1"/>
  <c r="N61" i="18"/>
  <c r="Q61" i="18" s="1"/>
  <c r="T61" i="18" s="1"/>
  <c r="J61" i="17"/>
  <c r="P61" i="17" s="1"/>
  <c r="S61" i="17" s="1"/>
  <c r="K61" i="17"/>
  <c r="L61" i="17"/>
  <c r="R61" i="17" s="1"/>
  <c r="U61" i="17" s="1"/>
  <c r="N61" i="17"/>
  <c r="Q60" i="17"/>
  <c r="T60" i="17" s="1"/>
  <c r="R60" i="17"/>
  <c r="U60" i="17" s="1"/>
  <c r="W61" i="17"/>
  <c r="O41" i="11"/>
  <c r="R41" i="11" s="1"/>
  <c r="U41" i="11" s="1"/>
  <c r="L61" i="12"/>
  <c r="J61" i="12"/>
  <c r="K61" i="12"/>
  <c r="H49" i="12"/>
  <c r="W48" i="12"/>
  <c r="O49" i="12" s="1"/>
  <c r="K54" i="11"/>
  <c r="I55" i="11"/>
  <c r="L54" i="11"/>
  <c r="J54" i="11"/>
  <c r="Q40" i="12"/>
  <c r="T40" i="12" s="1"/>
  <c r="R41" i="12"/>
  <c r="U41" i="12" s="1"/>
  <c r="H42" i="11"/>
  <c r="W41" i="11"/>
  <c r="M41" i="12"/>
  <c r="P40" i="12"/>
  <c r="S40" i="12" s="1"/>
  <c r="P38" i="20" l="1"/>
  <c r="S38" i="20" s="1"/>
  <c r="M39" i="20"/>
  <c r="I61" i="21"/>
  <c r="K60" i="21"/>
  <c r="L60" i="21"/>
  <c r="J60" i="21"/>
  <c r="I54" i="20"/>
  <c r="K53" i="20"/>
  <c r="J53" i="20"/>
  <c r="L53" i="20"/>
  <c r="N40" i="11"/>
  <c r="Q39" i="11"/>
  <c r="T39" i="11" s="1"/>
  <c r="P38" i="11"/>
  <c r="S38" i="11" s="1"/>
  <c r="M39" i="11"/>
  <c r="N41" i="20"/>
  <c r="O41" i="21"/>
  <c r="R40" i="21"/>
  <c r="U40" i="21" s="1"/>
  <c r="M41" i="21"/>
  <c r="P40" i="21"/>
  <c r="S40" i="21" s="1"/>
  <c r="N41" i="21"/>
  <c r="Q40" i="21"/>
  <c r="T40" i="21" s="1"/>
  <c r="W48" i="21"/>
  <c r="H49" i="21"/>
  <c r="H42" i="20"/>
  <c r="W41" i="20"/>
  <c r="R41" i="20"/>
  <c r="U41" i="20" s="1"/>
  <c r="Q41" i="20"/>
  <c r="T41" i="20" s="1"/>
  <c r="N49" i="12"/>
  <c r="Q61" i="17"/>
  <c r="T61" i="17" s="1"/>
  <c r="H43" i="11"/>
  <c r="W42" i="11"/>
  <c r="Q41" i="12"/>
  <c r="T41" i="12" s="1"/>
  <c r="O42" i="11"/>
  <c r="H50" i="12"/>
  <c r="W49" i="12"/>
  <c r="O50" i="12" s="1"/>
  <c r="M42" i="12"/>
  <c r="P41" i="12"/>
  <c r="S41" i="12" s="1"/>
  <c r="R42" i="12"/>
  <c r="U42" i="12" s="1"/>
  <c r="I56" i="11"/>
  <c r="L55" i="11"/>
  <c r="K55" i="11"/>
  <c r="J55" i="11"/>
  <c r="N41" i="11" l="1"/>
  <c r="Q40" i="11"/>
  <c r="T40" i="11" s="1"/>
  <c r="K54" i="20"/>
  <c r="J54" i="20"/>
  <c r="L54" i="20"/>
  <c r="I55" i="20"/>
  <c r="J61" i="21"/>
  <c r="K61" i="21"/>
  <c r="L61" i="21"/>
  <c r="P39" i="11"/>
  <c r="S39" i="11" s="1"/>
  <c r="M40" i="11"/>
  <c r="P39" i="20"/>
  <c r="S39" i="20" s="1"/>
  <c r="M40" i="20"/>
  <c r="N42" i="20"/>
  <c r="Q42" i="20" s="1"/>
  <c r="T42" i="20" s="1"/>
  <c r="W49" i="21"/>
  <c r="H50" i="21"/>
  <c r="O42" i="20"/>
  <c r="R42" i="20" s="1"/>
  <c r="U42" i="20" s="1"/>
  <c r="W42" i="20"/>
  <c r="O43" i="20" s="1"/>
  <c r="H43" i="20"/>
  <c r="M42" i="21"/>
  <c r="P41" i="21"/>
  <c r="S41" i="21" s="1"/>
  <c r="Q41" i="21"/>
  <c r="T41" i="21" s="1"/>
  <c r="N42" i="21"/>
  <c r="O42" i="21"/>
  <c r="R41" i="21"/>
  <c r="U41" i="21" s="1"/>
  <c r="N43" i="20"/>
  <c r="N50" i="12"/>
  <c r="R43" i="12"/>
  <c r="U43" i="12" s="1"/>
  <c r="H44" i="11"/>
  <c r="W43" i="11"/>
  <c r="I57" i="11"/>
  <c r="L56" i="11"/>
  <c r="J56" i="11"/>
  <c r="K56" i="11"/>
  <c r="M43" i="12"/>
  <c r="P42" i="12"/>
  <c r="S42" i="12" s="1"/>
  <c r="H51" i="12"/>
  <c r="W50" i="12"/>
  <c r="O51" i="12" s="1"/>
  <c r="Q42" i="12"/>
  <c r="T42" i="12" s="1"/>
  <c r="O43" i="11"/>
  <c r="R42" i="11"/>
  <c r="U42" i="11" s="1"/>
  <c r="P40" i="11" l="1"/>
  <c r="S40" i="11" s="1"/>
  <c r="M41" i="11"/>
  <c r="L55" i="20"/>
  <c r="I56" i="20"/>
  <c r="K55" i="20"/>
  <c r="J55" i="20"/>
  <c r="M41" i="20"/>
  <c r="P40" i="20"/>
  <c r="S40" i="20" s="1"/>
  <c r="Q41" i="11"/>
  <c r="T41" i="11" s="1"/>
  <c r="N42" i="11"/>
  <c r="O43" i="21"/>
  <c r="R42" i="21"/>
  <c r="U42" i="21" s="1"/>
  <c r="M43" i="21"/>
  <c r="P42" i="21"/>
  <c r="S42" i="21" s="1"/>
  <c r="N43" i="21"/>
  <c r="Q42" i="21"/>
  <c r="T42" i="21" s="1"/>
  <c r="H44" i="20"/>
  <c r="W43" i="20"/>
  <c r="O44" i="20" s="1"/>
  <c r="R43" i="20"/>
  <c r="U43" i="20" s="1"/>
  <c r="H51" i="21"/>
  <c r="W50" i="21"/>
  <c r="Q43" i="20"/>
  <c r="T43" i="20" s="1"/>
  <c r="N51" i="12"/>
  <c r="M44" i="12"/>
  <c r="P43" i="12"/>
  <c r="S43" i="12" s="1"/>
  <c r="H45" i="11"/>
  <c r="W44" i="11"/>
  <c r="Q43" i="12"/>
  <c r="T43" i="12" s="1"/>
  <c r="O44" i="11"/>
  <c r="K57" i="11"/>
  <c r="J57" i="11"/>
  <c r="L57" i="11"/>
  <c r="I58" i="11"/>
  <c r="W51" i="12"/>
  <c r="O52" i="12" s="1"/>
  <c r="H52" i="12"/>
  <c r="R43" i="11"/>
  <c r="U43" i="11" s="1"/>
  <c r="R44" i="12"/>
  <c r="U44" i="12" s="1"/>
  <c r="P41" i="20" l="1"/>
  <c r="S41" i="20" s="1"/>
  <c r="M42" i="20"/>
  <c r="I57" i="20"/>
  <c r="L56" i="20"/>
  <c r="K56" i="20"/>
  <c r="J56" i="20"/>
  <c r="P41" i="11"/>
  <c r="S41" i="11" s="1"/>
  <c r="M42" i="11"/>
  <c r="N43" i="11"/>
  <c r="Q42" i="11"/>
  <c r="T42" i="11" s="1"/>
  <c r="N44" i="20"/>
  <c r="Q43" i="21"/>
  <c r="T43" i="21" s="1"/>
  <c r="N44" i="21"/>
  <c r="W44" i="20"/>
  <c r="O45" i="20" s="1"/>
  <c r="H45" i="20"/>
  <c r="R44" i="20"/>
  <c r="U44" i="20" s="1"/>
  <c r="M44" i="21"/>
  <c r="P43" i="21"/>
  <c r="S43" i="21" s="1"/>
  <c r="H52" i="21"/>
  <c r="W51" i="21"/>
  <c r="O44" i="21"/>
  <c r="R43" i="21"/>
  <c r="U43" i="21" s="1"/>
  <c r="Q44" i="20"/>
  <c r="T44" i="20" s="1"/>
  <c r="N52" i="12"/>
  <c r="O45" i="11"/>
  <c r="R45" i="11" s="1"/>
  <c r="U45" i="11" s="1"/>
  <c r="Q44" i="12"/>
  <c r="T44" i="12" s="1"/>
  <c r="R44" i="11"/>
  <c r="U44" i="11" s="1"/>
  <c r="H46" i="11"/>
  <c r="W45" i="11"/>
  <c r="I59" i="11"/>
  <c r="L58" i="11"/>
  <c r="K58" i="11"/>
  <c r="J58" i="11"/>
  <c r="R45" i="12"/>
  <c r="U45" i="12" s="1"/>
  <c r="H53" i="12"/>
  <c r="W52" i="12"/>
  <c r="O53" i="12" s="1"/>
  <c r="M45" i="12"/>
  <c r="P44" i="12"/>
  <c r="S44" i="12" s="1"/>
  <c r="J57" i="20" l="1"/>
  <c r="L57" i="20"/>
  <c r="I58" i="20"/>
  <c r="K57" i="20"/>
  <c r="Q43" i="11"/>
  <c r="T43" i="11" s="1"/>
  <c r="N44" i="11"/>
  <c r="M43" i="20"/>
  <c r="P42" i="20"/>
  <c r="S42" i="20" s="1"/>
  <c r="P42" i="11"/>
  <c r="S42" i="11" s="1"/>
  <c r="M43" i="11"/>
  <c r="O45" i="21"/>
  <c r="R44" i="21"/>
  <c r="U44" i="21" s="1"/>
  <c r="H53" i="21"/>
  <c r="W52" i="21"/>
  <c r="W45" i="20"/>
  <c r="O46" i="20" s="1"/>
  <c r="H46" i="20"/>
  <c r="R45" i="20"/>
  <c r="U45" i="20" s="1"/>
  <c r="N45" i="20"/>
  <c r="M45" i="21"/>
  <c r="P44" i="21"/>
  <c r="S44" i="21" s="1"/>
  <c r="Q44" i="21"/>
  <c r="T44" i="21" s="1"/>
  <c r="N45" i="21"/>
  <c r="N53" i="12"/>
  <c r="O46" i="11"/>
  <c r="R46" i="11" s="1"/>
  <c r="U46" i="11" s="1"/>
  <c r="W46" i="11"/>
  <c r="H47" i="11"/>
  <c r="R46" i="12"/>
  <c r="U46" i="12" s="1"/>
  <c r="K59" i="11"/>
  <c r="J59" i="11"/>
  <c r="L59" i="11"/>
  <c r="I60" i="11"/>
  <c r="Q45" i="12"/>
  <c r="T45" i="12" s="1"/>
  <c r="M46" i="12"/>
  <c r="P45" i="12"/>
  <c r="S45" i="12" s="1"/>
  <c r="W53" i="12"/>
  <c r="O54" i="12" s="1"/>
  <c r="H54" i="12"/>
  <c r="P43" i="11" l="1"/>
  <c r="S43" i="11" s="1"/>
  <c r="M44" i="11"/>
  <c r="J58" i="20"/>
  <c r="L58" i="20"/>
  <c r="I59" i="20"/>
  <c r="K58" i="20"/>
  <c r="Q44" i="11"/>
  <c r="T44" i="11" s="1"/>
  <c r="N45" i="11"/>
  <c r="P43" i="20"/>
  <c r="S43" i="20" s="1"/>
  <c r="M44" i="20"/>
  <c r="N46" i="20"/>
  <c r="Q46" i="20" s="1"/>
  <c r="T46" i="20" s="1"/>
  <c r="Q45" i="20"/>
  <c r="T45" i="20" s="1"/>
  <c r="W46" i="20"/>
  <c r="O47" i="20" s="1"/>
  <c r="H47" i="20"/>
  <c r="R46" i="20"/>
  <c r="U46" i="20" s="1"/>
  <c r="M46" i="21"/>
  <c r="P45" i="21"/>
  <c r="S45" i="21" s="1"/>
  <c r="W53" i="21"/>
  <c r="H54" i="21"/>
  <c r="N46" i="21"/>
  <c r="Q45" i="21"/>
  <c r="T45" i="21" s="1"/>
  <c r="O46" i="21"/>
  <c r="R45" i="21"/>
  <c r="U45" i="21" s="1"/>
  <c r="N54" i="12"/>
  <c r="O47" i="11"/>
  <c r="R47" i="11" s="1"/>
  <c r="U47" i="11" s="1"/>
  <c r="R47" i="12"/>
  <c r="U47" i="12" s="1"/>
  <c r="M47" i="12"/>
  <c r="P46" i="12"/>
  <c r="S46" i="12" s="1"/>
  <c r="Q46" i="12"/>
  <c r="T46" i="12" s="1"/>
  <c r="H48" i="11"/>
  <c r="W47" i="11"/>
  <c r="H55" i="12"/>
  <c r="W54" i="12"/>
  <c r="O55" i="12" s="1"/>
  <c r="I61" i="11"/>
  <c r="K60" i="11"/>
  <c r="L60" i="11"/>
  <c r="J60" i="11"/>
  <c r="M45" i="20" l="1"/>
  <c r="P44" i="20"/>
  <c r="S44" i="20" s="1"/>
  <c r="P44" i="11"/>
  <c r="S44" i="11" s="1"/>
  <c r="M45" i="11"/>
  <c r="L59" i="20"/>
  <c r="I60" i="20"/>
  <c r="K59" i="20"/>
  <c r="J59" i="20"/>
  <c r="N46" i="11"/>
  <c r="Q45" i="11"/>
  <c r="T45" i="11" s="1"/>
  <c r="O47" i="21"/>
  <c r="R46" i="21"/>
  <c r="U46" i="21" s="1"/>
  <c r="M47" i="21"/>
  <c r="P46" i="21"/>
  <c r="S46" i="21" s="1"/>
  <c r="H55" i="21"/>
  <c r="W54" i="21"/>
  <c r="N47" i="20"/>
  <c r="Q46" i="21"/>
  <c r="T46" i="21" s="1"/>
  <c r="N47" i="21"/>
  <c r="H48" i="20"/>
  <c r="W47" i="20"/>
  <c r="O48" i="20" s="1"/>
  <c r="R47" i="20"/>
  <c r="U47" i="20" s="1"/>
  <c r="N55" i="12"/>
  <c r="W48" i="11"/>
  <c r="H49" i="11"/>
  <c r="M48" i="12"/>
  <c r="P47" i="12"/>
  <c r="S47" i="12" s="1"/>
  <c r="L61" i="11"/>
  <c r="K61" i="11"/>
  <c r="J61" i="11"/>
  <c r="O48" i="11"/>
  <c r="H56" i="12"/>
  <c r="W55" i="12"/>
  <c r="O56" i="12" s="1"/>
  <c r="Q47" i="12"/>
  <c r="T47" i="12" s="1"/>
  <c r="R48" i="12"/>
  <c r="U48" i="12" s="1"/>
  <c r="P45" i="11" l="1"/>
  <c r="S45" i="11" s="1"/>
  <c r="M46" i="11"/>
  <c r="Q46" i="11"/>
  <c r="T46" i="11" s="1"/>
  <c r="N47" i="11"/>
  <c r="L60" i="20"/>
  <c r="I61" i="20"/>
  <c r="J60" i="20"/>
  <c r="K60" i="20"/>
  <c r="P45" i="20"/>
  <c r="S45" i="20" s="1"/>
  <c r="M46" i="20"/>
  <c r="N48" i="20"/>
  <c r="Q47" i="20"/>
  <c r="T47" i="20" s="1"/>
  <c r="H56" i="21"/>
  <c r="W55" i="21"/>
  <c r="H49" i="20"/>
  <c r="W48" i="20"/>
  <c r="O49" i="20" s="1"/>
  <c r="R48" i="20"/>
  <c r="U48" i="20" s="1"/>
  <c r="N48" i="21"/>
  <c r="Q47" i="21"/>
  <c r="T47" i="21" s="1"/>
  <c r="M48" i="21"/>
  <c r="P47" i="21"/>
  <c r="S47" i="21" s="1"/>
  <c r="O48" i="21"/>
  <c r="R47" i="21"/>
  <c r="U47" i="21" s="1"/>
  <c r="N56" i="12"/>
  <c r="O49" i="11"/>
  <c r="R49" i="11" s="1"/>
  <c r="U49" i="11" s="1"/>
  <c r="R48" i="11"/>
  <c r="U48" i="11" s="1"/>
  <c r="M49" i="12"/>
  <c r="P48" i="12"/>
  <c r="S48" i="12" s="1"/>
  <c r="R49" i="12"/>
  <c r="U49" i="12" s="1"/>
  <c r="H50" i="11"/>
  <c r="W49" i="11"/>
  <c r="Q48" i="12"/>
  <c r="T48" i="12" s="1"/>
  <c r="W56" i="12"/>
  <c r="O57" i="12" s="1"/>
  <c r="H57" i="12"/>
  <c r="N49" i="20" l="1"/>
  <c r="N48" i="11"/>
  <c r="Q47" i="11"/>
  <c r="T47" i="11" s="1"/>
  <c r="P46" i="20"/>
  <c r="S46" i="20" s="1"/>
  <c r="M47" i="20"/>
  <c r="L61" i="20"/>
  <c r="K61" i="20"/>
  <c r="J61" i="20"/>
  <c r="P46" i="11"/>
  <c r="S46" i="11" s="1"/>
  <c r="M47" i="11"/>
  <c r="Q48" i="20"/>
  <c r="T48" i="20" s="1"/>
  <c r="W49" i="20"/>
  <c r="O50" i="20" s="1"/>
  <c r="H50" i="20"/>
  <c r="R49" i="20"/>
  <c r="U49" i="20" s="1"/>
  <c r="O49" i="21"/>
  <c r="R48" i="21"/>
  <c r="U48" i="21" s="1"/>
  <c r="N49" i="21"/>
  <c r="Q48" i="21"/>
  <c r="T48" i="21" s="1"/>
  <c r="M49" i="21"/>
  <c r="P48" i="21"/>
  <c r="S48" i="21" s="1"/>
  <c r="H57" i="21"/>
  <c r="W56" i="21"/>
  <c r="Q49" i="20"/>
  <c r="T49" i="20" s="1"/>
  <c r="N57" i="12"/>
  <c r="H58" i="12"/>
  <c r="W57" i="12"/>
  <c r="O58" i="12" s="1"/>
  <c r="H51" i="11"/>
  <c r="W50" i="11"/>
  <c r="R50" i="12"/>
  <c r="U50" i="12" s="1"/>
  <c r="M50" i="12"/>
  <c r="P49" i="12"/>
  <c r="S49" i="12" s="1"/>
  <c r="Q49" i="12"/>
  <c r="T49" i="12" s="1"/>
  <c r="O50" i="11"/>
  <c r="R50" i="11" s="1"/>
  <c r="U50" i="11" s="1"/>
  <c r="N49" i="11" l="1"/>
  <c r="Q48" i="11"/>
  <c r="T48" i="11" s="1"/>
  <c r="M48" i="20"/>
  <c r="P47" i="20"/>
  <c r="S47" i="20" s="1"/>
  <c r="P47" i="11"/>
  <c r="S47" i="11" s="1"/>
  <c r="M48" i="11"/>
  <c r="M50" i="21"/>
  <c r="P49" i="21"/>
  <c r="S49" i="21" s="1"/>
  <c r="O50" i="21"/>
  <c r="R49" i="21"/>
  <c r="U49" i="21" s="1"/>
  <c r="N50" i="20"/>
  <c r="W57" i="21"/>
  <c r="H58" i="21"/>
  <c r="Q49" i="21"/>
  <c r="T49" i="21" s="1"/>
  <c r="N50" i="21"/>
  <c r="H51" i="20"/>
  <c r="W50" i="20"/>
  <c r="O51" i="20" s="1"/>
  <c r="R50" i="20"/>
  <c r="U50" i="20" s="1"/>
  <c r="Q50" i="20"/>
  <c r="T50" i="20" s="1"/>
  <c r="N58" i="12"/>
  <c r="Q50" i="12"/>
  <c r="T50" i="12" s="1"/>
  <c r="M51" i="12"/>
  <c r="P50" i="12"/>
  <c r="S50" i="12" s="1"/>
  <c r="O51" i="11"/>
  <c r="R51" i="11" s="1"/>
  <c r="U51" i="11" s="1"/>
  <c r="R51" i="12"/>
  <c r="U51" i="12" s="1"/>
  <c r="H52" i="11"/>
  <c r="W51" i="11"/>
  <c r="H59" i="12"/>
  <c r="W58" i="12"/>
  <c r="O59" i="12" s="1"/>
  <c r="M49" i="20" l="1"/>
  <c r="P48" i="20"/>
  <c r="S48" i="20" s="1"/>
  <c r="P48" i="11"/>
  <c r="S48" i="11" s="1"/>
  <c r="M49" i="11"/>
  <c r="N50" i="11"/>
  <c r="Q49" i="11"/>
  <c r="T49" i="11" s="1"/>
  <c r="N51" i="20"/>
  <c r="W51" i="20"/>
  <c r="O52" i="20" s="1"/>
  <c r="H52" i="20"/>
  <c r="R51" i="20"/>
  <c r="U51" i="20" s="1"/>
  <c r="Q50" i="21"/>
  <c r="T50" i="21" s="1"/>
  <c r="N51" i="21"/>
  <c r="W58" i="21"/>
  <c r="H59" i="21"/>
  <c r="O51" i="21"/>
  <c r="R50" i="21"/>
  <c r="U50" i="21" s="1"/>
  <c r="M51" i="21"/>
  <c r="P50" i="21"/>
  <c r="S50" i="21" s="1"/>
  <c r="Q51" i="20"/>
  <c r="T51" i="20" s="1"/>
  <c r="N59" i="12"/>
  <c r="O52" i="11"/>
  <c r="R52" i="11" s="1"/>
  <c r="U52" i="11" s="1"/>
  <c r="Q51" i="12"/>
  <c r="T51" i="12" s="1"/>
  <c r="H60" i="12"/>
  <c r="W59" i="12"/>
  <c r="O60" i="12" s="1"/>
  <c r="W52" i="11"/>
  <c r="H53" i="11"/>
  <c r="R52" i="12"/>
  <c r="U52" i="12" s="1"/>
  <c r="M52" i="12"/>
  <c r="P51" i="12"/>
  <c r="S51" i="12" s="1"/>
  <c r="P49" i="11" l="1"/>
  <c r="S49" i="11" s="1"/>
  <c r="M50" i="11"/>
  <c r="Q50" i="11"/>
  <c r="T50" i="11" s="1"/>
  <c r="N51" i="11"/>
  <c r="P49" i="20"/>
  <c r="S49" i="20" s="1"/>
  <c r="M50" i="20"/>
  <c r="N52" i="21"/>
  <c r="Q51" i="21"/>
  <c r="T51" i="21" s="1"/>
  <c r="M52" i="21"/>
  <c r="P51" i="21"/>
  <c r="S51" i="21" s="1"/>
  <c r="N52" i="20"/>
  <c r="Q52" i="20" s="1"/>
  <c r="T52" i="20" s="1"/>
  <c r="H60" i="21"/>
  <c r="W59" i="21"/>
  <c r="O52" i="21"/>
  <c r="R51" i="21"/>
  <c r="U51" i="21" s="1"/>
  <c r="H53" i="20"/>
  <c r="W52" i="20"/>
  <c r="O53" i="20" s="1"/>
  <c r="R52" i="20"/>
  <c r="U52" i="20" s="1"/>
  <c r="N60" i="12"/>
  <c r="O53" i="11"/>
  <c r="R53" i="11" s="1"/>
  <c r="U53" i="11" s="1"/>
  <c r="H61" i="12"/>
  <c r="W60" i="12"/>
  <c r="O61" i="12" s="1"/>
  <c r="M53" i="12"/>
  <c r="P52" i="12"/>
  <c r="S52" i="12" s="1"/>
  <c r="H54" i="11"/>
  <c r="W53" i="11"/>
  <c r="Q52" i="12"/>
  <c r="T52" i="12" s="1"/>
  <c r="R53" i="12"/>
  <c r="U53" i="12" s="1"/>
  <c r="P50" i="20" l="1"/>
  <c r="S50" i="20" s="1"/>
  <c r="M51" i="20"/>
  <c r="P50" i="11"/>
  <c r="S50" i="11" s="1"/>
  <c r="M51" i="11"/>
  <c r="Q51" i="11"/>
  <c r="T51" i="11" s="1"/>
  <c r="N52" i="11"/>
  <c r="N53" i="20"/>
  <c r="R53" i="20"/>
  <c r="U53" i="20" s="1"/>
  <c r="W53" i="20"/>
  <c r="O54" i="20" s="1"/>
  <c r="H54" i="20"/>
  <c r="M53" i="21"/>
  <c r="P52" i="21"/>
  <c r="S52" i="21" s="1"/>
  <c r="O53" i="21"/>
  <c r="R52" i="21"/>
  <c r="U52" i="21" s="1"/>
  <c r="H61" i="21"/>
  <c r="W61" i="21" s="1"/>
  <c r="W60" i="21"/>
  <c r="Q52" i="21"/>
  <c r="T52" i="21" s="1"/>
  <c r="N53" i="21"/>
  <c r="Q53" i="20"/>
  <c r="T53" i="20" s="1"/>
  <c r="N61" i="12"/>
  <c r="W61" i="12"/>
  <c r="O54" i="11"/>
  <c r="R54" i="11" s="1"/>
  <c r="U54" i="11" s="1"/>
  <c r="H55" i="11"/>
  <c r="W54" i="11"/>
  <c r="Q53" i="12"/>
  <c r="T53" i="12" s="1"/>
  <c r="R54" i="12"/>
  <c r="U54" i="12" s="1"/>
  <c r="M54" i="12"/>
  <c r="P53" i="12"/>
  <c r="S53" i="12" s="1"/>
  <c r="P51" i="11" l="1"/>
  <c r="S51" i="11" s="1"/>
  <c r="M52" i="11"/>
  <c r="Q52" i="11"/>
  <c r="T52" i="11" s="1"/>
  <c r="N53" i="11"/>
  <c r="M52" i="20"/>
  <c r="P51" i="20"/>
  <c r="S51" i="20" s="1"/>
  <c r="N54" i="20"/>
  <c r="Q54" i="20" s="1"/>
  <c r="T54" i="20" s="1"/>
  <c r="Q53" i="21"/>
  <c r="T53" i="21" s="1"/>
  <c r="N54" i="21"/>
  <c r="M54" i="21"/>
  <c r="P53" i="21"/>
  <c r="S53" i="21" s="1"/>
  <c r="H55" i="20"/>
  <c r="W54" i="20"/>
  <c r="O55" i="20" s="1"/>
  <c r="R54" i="20"/>
  <c r="U54" i="20" s="1"/>
  <c r="O54" i="21"/>
  <c r="R53" i="21"/>
  <c r="U53" i="21" s="1"/>
  <c r="R55" i="12"/>
  <c r="U55" i="12" s="1"/>
  <c r="Q54" i="12"/>
  <c r="T54" i="12" s="1"/>
  <c r="W55" i="11"/>
  <c r="H56" i="11"/>
  <c r="M55" i="12"/>
  <c r="P54" i="12"/>
  <c r="S54" i="12" s="1"/>
  <c r="O55" i="11"/>
  <c r="P52" i="11" l="1"/>
  <c r="S52" i="11" s="1"/>
  <c r="M53" i="11"/>
  <c r="M53" i="20"/>
  <c r="P52" i="20"/>
  <c r="S52" i="20" s="1"/>
  <c r="Q53" i="11"/>
  <c r="T53" i="11" s="1"/>
  <c r="N54" i="11"/>
  <c r="N55" i="20"/>
  <c r="Q55" i="20" s="1"/>
  <c r="T55" i="20" s="1"/>
  <c r="W55" i="20"/>
  <c r="O56" i="20" s="1"/>
  <c r="H56" i="20"/>
  <c r="R55" i="20"/>
  <c r="U55" i="20" s="1"/>
  <c r="O55" i="21"/>
  <c r="R54" i="21"/>
  <c r="U54" i="21" s="1"/>
  <c r="M55" i="21"/>
  <c r="P54" i="21"/>
  <c r="S54" i="21" s="1"/>
  <c r="Q54" i="21"/>
  <c r="T54" i="21" s="1"/>
  <c r="N55" i="21"/>
  <c r="O56" i="11"/>
  <c r="R56" i="11" s="1"/>
  <c r="U56" i="11" s="1"/>
  <c r="M56" i="12"/>
  <c r="P55" i="12"/>
  <c r="S55" i="12" s="1"/>
  <c r="R56" i="12"/>
  <c r="U56" i="12" s="1"/>
  <c r="H57" i="11"/>
  <c r="W56" i="11"/>
  <c r="R55" i="11"/>
  <c r="U55" i="11" s="1"/>
  <c r="Q55" i="12"/>
  <c r="T55" i="12" s="1"/>
  <c r="Q54" i="11" l="1"/>
  <c r="T54" i="11" s="1"/>
  <c r="N55" i="11"/>
  <c r="M54" i="20"/>
  <c r="P53" i="20"/>
  <c r="S53" i="20" s="1"/>
  <c r="P53" i="11"/>
  <c r="S53" i="11" s="1"/>
  <c r="M54" i="11"/>
  <c r="Q55" i="21"/>
  <c r="T55" i="21" s="1"/>
  <c r="N56" i="21"/>
  <c r="O56" i="21"/>
  <c r="R55" i="21"/>
  <c r="U55" i="21" s="1"/>
  <c r="N56" i="20"/>
  <c r="N57" i="20" s="1"/>
  <c r="M56" i="21"/>
  <c r="P55" i="21"/>
  <c r="S55" i="21" s="1"/>
  <c r="W56" i="20"/>
  <c r="O57" i="20" s="1"/>
  <c r="H57" i="20"/>
  <c r="R56" i="20"/>
  <c r="U56" i="20" s="1"/>
  <c r="H58" i="11"/>
  <c r="W57" i="11"/>
  <c r="Q56" i="12"/>
  <c r="T56" i="12" s="1"/>
  <c r="R57" i="12"/>
  <c r="U57" i="12" s="1"/>
  <c r="M57" i="12"/>
  <c r="P56" i="12"/>
  <c r="S56" i="12" s="1"/>
  <c r="O57" i="11"/>
  <c r="P54" i="11" l="1"/>
  <c r="S54" i="11" s="1"/>
  <c r="M55" i="11"/>
  <c r="N56" i="11"/>
  <c r="Q55" i="11"/>
  <c r="T55" i="11" s="1"/>
  <c r="M55" i="20"/>
  <c r="P54" i="20"/>
  <c r="S54" i="20" s="1"/>
  <c r="Q56" i="20"/>
  <c r="T56" i="20" s="1"/>
  <c r="H58" i="20"/>
  <c r="W57" i="20"/>
  <c r="O58" i="20" s="1"/>
  <c r="R57" i="20"/>
  <c r="U57" i="20" s="1"/>
  <c r="O57" i="21"/>
  <c r="R56" i="21"/>
  <c r="U56" i="21" s="1"/>
  <c r="M57" i="21"/>
  <c r="P56" i="21"/>
  <c r="S56" i="21" s="1"/>
  <c r="Q56" i="21"/>
  <c r="T56" i="21" s="1"/>
  <c r="N57" i="21"/>
  <c r="Q57" i="20"/>
  <c r="T57" i="20" s="1"/>
  <c r="N58" i="20"/>
  <c r="O58" i="11"/>
  <c r="R58" i="11" s="1"/>
  <c r="U58" i="11" s="1"/>
  <c r="R57" i="11"/>
  <c r="U57" i="11" s="1"/>
  <c r="M58" i="12"/>
  <c r="P57" i="12"/>
  <c r="S57" i="12" s="1"/>
  <c r="R58" i="12"/>
  <c r="U58" i="12" s="1"/>
  <c r="Q57" i="12"/>
  <c r="T57" i="12" s="1"/>
  <c r="W58" i="11"/>
  <c r="H59" i="11"/>
  <c r="N57" i="11" l="1"/>
  <c r="Q56" i="11"/>
  <c r="T56" i="11" s="1"/>
  <c r="P55" i="11"/>
  <c r="S55" i="11" s="1"/>
  <c r="M56" i="11"/>
  <c r="M56" i="20"/>
  <c r="P55" i="20"/>
  <c r="S55" i="20" s="1"/>
  <c r="N58" i="21"/>
  <c r="Q57" i="21"/>
  <c r="T57" i="21" s="1"/>
  <c r="O58" i="21"/>
  <c r="R57" i="21"/>
  <c r="U57" i="21" s="1"/>
  <c r="M58" i="21"/>
  <c r="P57" i="21"/>
  <c r="S57" i="21" s="1"/>
  <c r="R58" i="20"/>
  <c r="U58" i="20" s="1"/>
  <c r="H59" i="20"/>
  <c r="W58" i="20"/>
  <c r="O59" i="20" s="1"/>
  <c r="Q58" i="20"/>
  <c r="T58" i="20" s="1"/>
  <c r="O59" i="11"/>
  <c r="R59" i="11" s="1"/>
  <c r="U59" i="11" s="1"/>
  <c r="R59" i="12"/>
  <c r="U59" i="12" s="1"/>
  <c r="W59" i="11"/>
  <c r="H60" i="11"/>
  <c r="Q58" i="12"/>
  <c r="T58" i="12" s="1"/>
  <c r="M59" i="12"/>
  <c r="P58" i="12"/>
  <c r="S58" i="12" s="1"/>
  <c r="P56" i="11" l="1"/>
  <c r="S56" i="11" s="1"/>
  <c r="M57" i="11"/>
  <c r="M57" i="20"/>
  <c r="P56" i="20"/>
  <c r="S56" i="20" s="1"/>
  <c r="N58" i="11"/>
  <c r="Q57" i="11"/>
  <c r="T57" i="11" s="1"/>
  <c r="N59" i="20"/>
  <c r="Q59" i="20" s="1"/>
  <c r="T59" i="20" s="1"/>
  <c r="T65" i="20" s="1"/>
  <c r="Q65" i="20" s="1"/>
  <c r="G83" i="1" s="1"/>
  <c r="U66" i="11"/>
  <c r="R66" i="11" s="1"/>
  <c r="G91" i="1" s="1"/>
  <c r="U66" i="12"/>
  <c r="R66" i="12" s="1"/>
  <c r="H91" i="1" s="1"/>
  <c r="M59" i="21"/>
  <c r="P58" i="21"/>
  <c r="S58" i="21" s="1"/>
  <c r="Q58" i="21"/>
  <c r="T58" i="21" s="1"/>
  <c r="N59" i="21"/>
  <c r="W59" i="20"/>
  <c r="O60" i="20" s="1"/>
  <c r="H60" i="20"/>
  <c r="R59" i="20"/>
  <c r="U59" i="20" s="1"/>
  <c r="U66" i="20" s="1"/>
  <c r="R66" i="20" s="1"/>
  <c r="G84" i="1" s="1"/>
  <c r="O59" i="21"/>
  <c r="R58" i="21"/>
  <c r="U58" i="21" s="1"/>
  <c r="Q59" i="12"/>
  <c r="T59" i="12" s="1"/>
  <c r="R61" i="12"/>
  <c r="U61" i="12" s="1"/>
  <c r="R60" i="12"/>
  <c r="U60" i="12" s="1"/>
  <c r="M60" i="12"/>
  <c r="P59" i="12"/>
  <c r="S59" i="12" s="1"/>
  <c r="H61" i="11"/>
  <c r="W60" i="11"/>
  <c r="O60" i="11"/>
  <c r="P57" i="20" l="1"/>
  <c r="S57" i="20" s="1"/>
  <c r="M58" i="20"/>
  <c r="Q58" i="11"/>
  <c r="T58" i="11" s="1"/>
  <c r="N59" i="11"/>
  <c r="P57" i="11"/>
  <c r="S57" i="11" s="1"/>
  <c r="M58" i="11"/>
  <c r="S64" i="12"/>
  <c r="P64" i="12" s="1"/>
  <c r="H89" i="1" s="1"/>
  <c r="T65" i="12"/>
  <c r="Q65" i="12" s="1"/>
  <c r="H90" i="1" s="1"/>
  <c r="M60" i="21"/>
  <c r="P59" i="21"/>
  <c r="S59" i="21" s="1"/>
  <c r="S64" i="21" s="1"/>
  <c r="P64" i="21" s="1"/>
  <c r="H82" i="1" s="1"/>
  <c r="O60" i="21"/>
  <c r="R59" i="21"/>
  <c r="U59" i="21" s="1"/>
  <c r="U66" i="21" s="1"/>
  <c r="R66" i="21" s="1"/>
  <c r="H84" i="1" s="1"/>
  <c r="N60" i="21"/>
  <c r="Q59" i="21"/>
  <c r="T59" i="21" s="1"/>
  <c r="T65" i="21" s="1"/>
  <c r="Q65" i="21" s="1"/>
  <c r="H83" i="1" s="1"/>
  <c r="N60" i="20"/>
  <c r="N61" i="20" s="1"/>
  <c r="H61" i="20"/>
  <c r="W60" i="20"/>
  <c r="O61" i="20" s="1"/>
  <c r="R60" i="20"/>
  <c r="U60" i="20" s="1"/>
  <c r="R60" i="11"/>
  <c r="U60" i="11" s="1"/>
  <c r="O61" i="11"/>
  <c r="R61" i="11" s="1"/>
  <c r="U61" i="11" s="1"/>
  <c r="M61" i="12"/>
  <c r="P61" i="12" s="1"/>
  <c r="S61" i="12" s="1"/>
  <c r="P60" i="12"/>
  <c r="S60" i="12" s="1"/>
  <c r="Q61" i="12"/>
  <c r="T61" i="12" s="1"/>
  <c r="Q60" i="12"/>
  <c r="T60" i="12" s="1"/>
  <c r="W61" i="11"/>
  <c r="P58" i="11" l="1"/>
  <c r="S58" i="11" s="1"/>
  <c r="M59" i="11"/>
  <c r="P58" i="20"/>
  <c r="S58" i="20" s="1"/>
  <c r="M59" i="20"/>
  <c r="Q60" i="20"/>
  <c r="T60" i="20" s="1"/>
  <c r="N60" i="11"/>
  <c r="Q59" i="11"/>
  <c r="T59" i="11" s="1"/>
  <c r="T65" i="11" s="1"/>
  <c r="Q65" i="11" s="1"/>
  <c r="G90" i="1" s="1"/>
  <c r="Q61" i="20"/>
  <c r="T61" i="20" s="1"/>
  <c r="O61" i="21"/>
  <c r="R61" i="21" s="1"/>
  <c r="U61" i="21" s="1"/>
  <c r="R60" i="21"/>
  <c r="U60" i="21" s="1"/>
  <c r="Q60" i="21"/>
  <c r="T60" i="21" s="1"/>
  <c r="N61" i="21"/>
  <c r="Q61" i="21" s="1"/>
  <c r="T61" i="21" s="1"/>
  <c r="W61" i="20"/>
  <c r="R61" i="20"/>
  <c r="U61" i="20" s="1"/>
  <c r="M61" i="21"/>
  <c r="P61" i="21" s="1"/>
  <c r="S61" i="21" s="1"/>
  <c r="P60" i="21"/>
  <c r="S60" i="21" s="1"/>
  <c r="M60" i="20" l="1"/>
  <c r="P59" i="20"/>
  <c r="S59" i="20" s="1"/>
  <c r="S64" i="20" s="1"/>
  <c r="P64" i="20" s="1"/>
  <c r="G82" i="1" s="1"/>
  <c r="N61" i="11"/>
  <c r="Q61" i="11" s="1"/>
  <c r="T61" i="11" s="1"/>
  <c r="Q60" i="11"/>
  <c r="T60" i="11" s="1"/>
  <c r="P59" i="11"/>
  <c r="S59" i="11" s="1"/>
  <c r="S64" i="11" s="1"/>
  <c r="P64" i="11" s="1"/>
  <c r="G89" i="1" s="1"/>
  <c r="M60" i="11"/>
  <c r="P60" i="11" l="1"/>
  <c r="S60" i="11" s="1"/>
  <c r="M61" i="11"/>
  <c r="P61" i="11" s="1"/>
  <c r="S61" i="11" s="1"/>
  <c r="M61" i="20"/>
  <c r="P61" i="20" s="1"/>
  <c r="S61" i="20" s="1"/>
  <c r="P60" i="20"/>
  <c r="S60" i="20" s="1"/>
</calcChain>
</file>

<file path=xl/comments1.xml><?xml version="1.0" encoding="utf-8"?>
<comments xmlns="http://schemas.openxmlformats.org/spreadsheetml/2006/main">
  <authors>
    <author>Groß, Marco</author>
  </authors>
  <commentList>
    <comment ref="F53" authorId="0" shapeId="0">
      <text>
        <r>
          <rPr>
            <b/>
            <sz val="9"/>
            <color indexed="81"/>
            <rFont val="Tahoma"/>
            <family val="2"/>
          </rPr>
          <t>Groß, Marco:</t>
        </r>
        <r>
          <rPr>
            <sz val="9"/>
            <color indexed="81"/>
            <rFont val="Tahoma"/>
            <family val="2"/>
          </rPr>
          <t xml:space="preserve">
probabilities related to initial S3 exposures do not need to be provided here</t>
        </r>
      </text>
    </comment>
  </commentList>
</comments>
</file>

<file path=xl/comments2.xml><?xml version="1.0" encoding="utf-8"?>
<comments xmlns="http://schemas.openxmlformats.org/spreadsheetml/2006/main">
  <authors>
    <author>Groß, Marco</author>
  </authors>
  <commentList>
    <comment ref="F25" authorId="0" shapeId="0">
      <text>
        <r>
          <rPr>
            <b/>
            <sz val="9"/>
            <color indexed="81"/>
            <rFont val="Tahoma"/>
            <family val="2"/>
          </rPr>
          <t>Groß, Marco:</t>
        </r>
        <r>
          <rPr>
            <sz val="9"/>
            <color indexed="81"/>
            <rFont val="Tahoma"/>
            <family val="2"/>
          </rPr>
          <t xml:space="preserve">
probabilities related to initial S3 exposures do not need to be provided here</t>
        </r>
      </text>
    </comment>
  </commentList>
</comments>
</file>

<file path=xl/comments3.xml><?xml version="1.0" encoding="utf-8"?>
<comments xmlns="http://schemas.openxmlformats.org/spreadsheetml/2006/main">
  <authors>
    <author>Groß, Marco</author>
  </authors>
  <commentList>
    <comment ref="G49" authorId="0" shapeId="0">
      <text>
        <r>
          <rPr>
            <b/>
            <sz val="9"/>
            <color indexed="81"/>
            <rFont val="Tahoma"/>
            <family val="2"/>
          </rPr>
          <t>Groß, Marco:</t>
        </r>
        <r>
          <rPr>
            <sz val="9"/>
            <color indexed="81"/>
            <rFont val="Tahoma"/>
            <family val="2"/>
          </rPr>
          <t xml:space="preserve">
for non-EU countries whose HP path was not part of the scenario it is the 25th percentile over the cumulative HP changes for the available nonEU countries under the adverse scenario; </t>
        </r>
      </text>
    </comment>
  </commentList>
</comments>
</file>

<file path=xl/comments4.xml><?xml version="1.0" encoding="utf-8"?>
<comments xmlns="http://schemas.openxmlformats.org/spreadsheetml/2006/main">
  <authors>
    <author>Groß, Marco</author>
  </authors>
  <commentList>
    <comment ref="G49" authorId="0" shapeId="0">
      <text>
        <r>
          <rPr>
            <b/>
            <sz val="9"/>
            <color indexed="81"/>
            <rFont val="Tahoma"/>
            <family val="2"/>
          </rPr>
          <t>Groß, Marco:</t>
        </r>
        <r>
          <rPr>
            <sz val="9"/>
            <color indexed="81"/>
            <rFont val="Tahoma"/>
            <family val="2"/>
          </rPr>
          <t xml:space="preserve">
for non-EU countries whose HP path was not part of the scenario it is the 25th percentile over the cumulative HP changes for the available nonEU countries under the adverse scenario; </t>
        </r>
      </text>
    </comment>
  </commentList>
</comments>
</file>

<file path=xl/comments5.xml><?xml version="1.0" encoding="utf-8"?>
<comments xmlns="http://schemas.openxmlformats.org/spreadsheetml/2006/main">
  <authors>
    <author>Groß, Marco</author>
  </authors>
  <commentList>
    <comment ref="G49" authorId="0" shapeId="0">
      <text>
        <r>
          <rPr>
            <b/>
            <sz val="9"/>
            <color indexed="81"/>
            <rFont val="Tahoma"/>
            <family val="2"/>
          </rPr>
          <t>Groß, Marco:</t>
        </r>
        <r>
          <rPr>
            <sz val="9"/>
            <color indexed="81"/>
            <rFont val="Tahoma"/>
            <family val="2"/>
          </rPr>
          <t xml:space="preserve">
for non-EU countries whose HP path was not part of the scenario it is the 25th percentile over the cumulative HP changes for the available nonEU countries under the adverse scenario; </t>
        </r>
      </text>
    </comment>
  </commentList>
</comments>
</file>

<file path=xl/sharedStrings.xml><?xml version="1.0" encoding="utf-8"?>
<sst xmlns="http://schemas.openxmlformats.org/spreadsheetml/2006/main" count="2754" uniqueCount="504">
  <si>
    <t>Baseline</t>
  </si>
  <si>
    <t>Adverse</t>
  </si>
  <si>
    <t>Household mortgage</t>
  </si>
  <si>
    <t>Austria</t>
  </si>
  <si>
    <t>Implied multiple relative to 2017</t>
  </si>
  <si>
    <t>S1</t>
  </si>
  <si>
    <t>S2</t>
  </si>
  <si>
    <t>S3</t>
  </si>
  <si>
    <t>T+1</t>
  </si>
  <si>
    <t>T</t>
  </si>
  <si>
    <t>Country</t>
  </si>
  <si>
    <t>Y1</t>
  </si>
  <si>
    <t>Y2</t>
  </si>
  <si>
    <t>Y3</t>
  </si>
  <si>
    <t>Cure rate</t>
  </si>
  <si>
    <t>LTV</t>
  </si>
  <si>
    <t>LGD</t>
  </si>
  <si>
    <t>PD</t>
  </si>
  <si>
    <t>Portfolio segment</t>
  </si>
  <si>
    <t>Choose portfolio segment and country/region as a reference for all derivations below (PDs, LGDs, TPs)</t>
  </si>
  <si>
    <t>Outputs</t>
  </si>
  <si>
    <t>Scenario-conditional PD paths</t>
  </si>
  <si>
    <t>Scenario-conditional LGD paths</t>
  </si>
  <si>
    <t>Portfolio segments</t>
  </si>
  <si>
    <t>NFC-RE</t>
  </si>
  <si>
    <t>NFC-nonRE</t>
  </si>
  <si>
    <t>Consumer credit</t>
  </si>
  <si>
    <t>Financials</t>
  </si>
  <si>
    <t>Countries and regions</t>
  </si>
  <si>
    <t>BE</t>
  </si>
  <si>
    <t>Belgium</t>
  </si>
  <si>
    <t>BG</t>
  </si>
  <si>
    <t>Bulgaria</t>
  </si>
  <si>
    <t>CZ</t>
  </si>
  <si>
    <t>Czech Republic</t>
  </si>
  <si>
    <t>DK</t>
  </si>
  <si>
    <t>Denmark</t>
  </si>
  <si>
    <t>DE</t>
  </si>
  <si>
    <t>Germany</t>
  </si>
  <si>
    <t>EE</t>
  </si>
  <si>
    <t>Estonia</t>
  </si>
  <si>
    <t>IE</t>
  </si>
  <si>
    <t>Ireland</t>
  </si>
  <si>
    <t>GR</t>
  </si>
  <si>
    <t>Greece</t>
  </si>
  <si>
    <t>ES</t>
  </si>
  <si>
    <t>Spain</t>
  </si>
  <si>
    <t>FR</t>
  </si>
  <si>
    <t>France</t>
  </si>
  <si>
    <t>HR</t>
  </si>
  <si>
    <t>Croatia</t>
  </si>
  <si>
    <t>IT</t>
  </si>
  <si>
    <t>Italy</t>
  </si>
  <si>
    <t>CY</t>
  </si>
  <si>
    <t>Cyprus</t>
  </si>
  <si>
    <t>LV</t>
  </si>
  <si>
    <t>Latvia</t>
  </si>
  <si>
    <t>LT</t>
  </si>
  <si>
    <t>Lithuania</t>
  </si>
  <si>
    <t>LU</t>
  </si>
  <si>
    <t>Luxembourg</t>
  </si>
  <si>
    <t>HU</t>
  </si>
  <si>
    <t>Hungary</t>
  </si>
  <si>
    <t>MT</t>
  </si>
  <si>
    <t>Malta</t>
  </si>
  <si>
    <t>NL</t>
  </si>
  <si>
    <t>Netherlands</t>
  </si>
  <si>
    <t>AT</t>
  </si>
  <si>
    <t>PL</t>
  </si>
  <si>
    <t>Poland</t>
  </si>
  <si>
    <t>PT</t>
  </si>
  <si>
    <t>Portugal</t>
  </si>
  <si>
    <t>RO</t>
  </si>
  <si>
    <t>Romania</t>
  </si>
  <si>
    <t>SI</t>
  </si>
  <si>
    <t>Slovenia</t>
  </si>
  <si>
    <t>SK</t>
  </si>
  <si>
    <t>Slovakia</t>
  </si>
  <si>
    <t>FI</t>
  </si>
  <si>
    <t>Finland</t>
  </si>
  <si>
    <t>SE</t>
  </si>
  <si>
    <t>Sweden</t>
  </si>
  <si>
    <t>GB</t>
  </si>
  <si>
    <t>United Kingdom</t>
  </si>
  <si>
    <t>Norway</t>
  </si>
  <si>
    <t>United States</t>
  </si>
  <si>
    <t>Japan</t>
  </si>
  <si>
    <t>Canada</t>
  </si>
  <si>
    <t>Switzerland</t>
  </si>
  <si>
    <t>Australia &amp; New Zealand</t>
  </si>
  <si>
    <t>Turkey</t>
  </si>
  <si>
    <t>Russia</t>
  </si>
  <si>
    <t>Emerging Asia</t>
  </si>
  <si>
    <t xml:space="preserve">   China</t>
  </si>
  <si>
    <t xml:space="preserve">   India</t>
  </si>
  <si>
    <t>Latin America</t>
  </si>
  <si>
    <t xml:space="preserve">   Brazil</t>
  </si>
  <si>
    <t xml:space="preserve">   Mexico</t>
  </si>
  <si>
    <t xml:space="preserve">   Chile</t>
  </si>
  <si>
    <t>Rest of the World</t>
  </si>
  <si>
    <t>NO</t>
  </si>
  <si>
    <t>US</t>
  </si>
  <si>
    <t>JP</t>
  </si>
  <si>
    <t>CA</t>
  </si>
  <si>
    <t>CH</t>
  </si>
  <si>
    <t>AN</t>
  </si>
  <si>
    <t>TR</t>
  </si>
  <si>
    <t>RU</t>
  </si>
  <si>
    <t>AS</t>
  </si>
  <si>
    <t>CI</t>
  </si>
  <si>
    <t>IN</t>
  </si>
  <si>
    <t>LA</t>
  </si>
  <si>
    <t>BR</t>
  </si>
  <si>
    <t>MX</t>
  </si>
  <si>
    <t>CL</t>
  </si>
  <si>
    <t>RW</t>
  </si>
  <si>
    <t>Inputs (drop-down)</t>
  </si>
  <si>
    <t>Inputs (type)</t>
  </si>
  <si>
    <t>HH-HP</t>
  </si>
  <si>
    <t>HH-CC</t>
  </si>
  <si>
    <t>FIN</t>
  </si>
  <si>
    <t>PD multiples</t>
  </si>
  <si>
    <t>PD starting points</t>
  </si>
  <si>
    <t>Segment</t>
  </si>
  <si>
    <t>System-level multiples</t>
  </si>
  <si>
    <t>Implied multiple relative to Y0</t>
  </si>
  <si>
    <t>Y0 bank</t>
  </si>
  <si>
    <t>Y0 system</t>
  </si>
  <si>
    <t>V</t>
  </si>
  <si>
    <t>eSR = @(ltv,sr,v,q) min(ltv*q+0.5*sr*erf(sr/(sqrt(2)*v))+(v/sqrt(2*pi))*exp(-(sr^2/(2*v^2)))-0.5*sr*erf((sr-ltv)/(sqrt(2)*v))-(v/sqrt(2*pi))*exp(-((sr-ltv)^2/(2*v^2))),sr);</t>
  </si>
  <si>
    <t>q = @(ltv,sh,v) 1-normcdf(ltv,1+sh,v);</t>
  </si>
  <si>
    <t>Complex model</t>
  </si>
  <si>
    <t>Simple model</t>
  </si>
  <si>
    <t>FINAL</t>
  </si>
  <si>
    <t>T0 LGD</t>
  </si>
  <si>
    <t>Cure rate T0</t>
  </si>
  <si>
    <t>Mu</t>
  </si>
  <si>
    <t>base</t>
  </si>
  <si>
    <t>adv</t>
  </si>
  <si>
    <t>LGL</t>
  </si>
  <si>
    <t>eSR</t>
  </si>
  <si>
    <t>Weights</t>
  </si>
  <si>
    <t>Base</t>
  </si>
  <si>
    <t>Adv</t>
  </si>
  <si>
    <t>T0</t>
  </si>
  <si>
    <t>q</t>
  </si>
  <si>
    <t>Complex</t>
  </si>
  <si>
    <t>Simple</t>
  </si>
  <si>
    <t>RP</t>
  </si>
  <si>
    <t>CP</t>
  </si>
  <si>
    <t>SOV</t>
  </si>
  <si>
    <t>-</t>
  </si>
  <si>
    <t>Sovereign</t>
  </si>
  <si>
    <t>Selected</t>
  </si>
  <si>
    <t>RPP</t>
  </si>
  <si>
    <t>CPP</t>
  </si>
  <si>
    <t>Sum</t>
  </si>
  <si>
    <t>INPUTS</t>
  </si>
  <si>
    <t>M in years (scalar)</t>
  </si>
  <si>
    <t>OUTPUTS</t>
  </si>
  <si>
    <t>3 LT-LRs</t>
  </si>
  <si>
    <t>TP2-3 (3 numbers)</t>
  </si>
  <si>
    <t>LGD2-3 (3 numbers)</t>
  </si>
  <si>
    <t>Cumulative survival probability</t>
  </si>
  <si>
    <t>Beginning of the year</t>
  </si>
  <si>
    <t>Through the year</t>
  </si>
  <si>
    <t>Pit survival probability</t>
  </si>
  <si>
    <t>1-TP</t>
  </si>
  <si>
    <t>EAD and LGD discount factor</t>
  </si>
  <si>
    <t>TP2-3 Pit</t>
  </si>
  <si>
    <t>LGD2-3 Pit</t>
  </si>
  <si>
    <t>LGD2-3 Disc</t>
  </si>
  <si>
    <t>SP2-3</t>
  </si>
  <si>
    <t>LR*2-3</t>
  </si>
  <si>
    <t>ECL</t>
  </si>
  <si>
    <t>S2-S3</t>
  </si>
  <si>
    <t>Starting Point</t>
  </si>
  <si>
    <t>Y0</t>
  </si>
  <si>
    <t>Scenario</t>
  </si>
  <si>
    <t>Mean reversion period</t>
  </si>
  <si>
    <t>Y4</t>
  </si>
  <si>
    <t>Y5</t>
  </si>
  <si>
    <t>Y6</t>
  </si>
  <si>
    <t>Y7</t>
  </si>
  <si>
    <t>Y8</t>
  </si>
  <si>
    <t>Y9</t>
  </si>
  <si>
    <t>Constant period</t>
  </si>
  <si>
    <t>Y10</t>
  </si>
  <si>
    <t>Y11</t>
  </si>
  <si>
    <t>Y12</t>
  </si>
  <si>
    <t>Y13</t>
  </si>
  <si>
    <t>Y14</t>
  </si>
  <si>
    <t>Y15</t>
  </si>
  <si>
    <t>Y16</t>
  </si>
  <si>
    <t>Y17</t>
  </si>
  <si>
    <t>Y18</t>
  </si>
  <si>
    <t>Y19</t>
  </si>
  <si>
    <t>Y20</t>
  </si>
  <si>
    <t>Y21</t>
  </si>
  <si>
    <t>Y22</t>
  </si>
  <si>
    <t>Y23</t>
  </si>
  <si>
    <t>Y24</t>
  </si>
  <si>
    <t>Y25</t>
  </si>
  <si>
    <t>Y26</t>
  </si>
  <si>
    <t>Y27</t>
  </si>
  <si>
    <t>Y28</t>
  </si>
  <si>
    <t>Y29</t>
  </si>
  <si>
    <t>Y30</t>
  </si>
  <si>
    <t>Y31</t>
  </si>
  <si>
    <t>Y32</t>
  </si>
  <si>
    <t>Y33</t>
  </si>
  <si>
    <t>Y34</t>
  </si>
  <si>
    <t>Y35</t>
  </si>
  <si>
    <t>Y36</t>
  </si>
  <si>
    <t>Y37</t>
  </si>
  <si>
    <t>Y38</t>
  </si>
  <si>
    <t>Y39</t>
  </si>
  <si>
    <t>Y40</t>
  </si>
  <si>
    <t>Y41</t>
  </si>
  <si>
    <t>Y42</t>
  </si>
  <si>
    <t>Y43</t>
  </si>
  <si>
    <t>Y44</t>
  </si>
  <si>
    <t>Y45</t>
  </si>
  <si>
    <t>Y46</t>
  </si>
  <si>
    <t>Y47</t>
  </si>
  <si>
    <t>Y48</t>
  </si>
  <si>
    <t>Y49</t>
  </si>
  <si>
    <t>Y50</t>
  </si>
  <si>
    <t>Y51</t>
  </si>
  <si>
    <t>Y52</t>
  </si>
  <si>
    <t>LR LT</t>
  </si>
  <si>
    <t>ECL LT</t>
  </si>
  <si>
    <t>PD PiT paths</t>
  </si>
  <si>
    <t>Transition probability matrix PiT paths</t>
  </si>
  <si>
    <t>Lifetime parameter paths</t>
  </si>
  <si>
    <t>Residual maturity in years</t>
  </si>
  <si>
    <t>Residual maturity</t>
  </si>
  <si>
    <r>
      <t>LGD</t>
    </r>
    <r>
      <rPr>
        <b/>
        <u/>
        <vertAlign val="superscript"/>
        <sz val="11"/>
        <color rgb="FFFF0000"/>
        <rFont val="Calibri"/>
        <family val="2"/>
        <scheme val="minor"/>
      </rPr>
      <t>1-3</t>
    </r>
    <r>
      <rPr>
        <b/>
        <u/>
        <sz val="11"/>
        <color rgb="FFFF0000"/>
        <rFont val="Calibri"/>
        <family val="2"/>
        <scheme val="minor"/>
      </rPr>
      <t xml:space="preserve"> PiT paths</t>
    </r>
  </si>
  <si>
    <r>
      <t>LGD</t>
    </r>
    <r>
      <rPr>
        <vertAlign val="superscript"/>
        <sz val="11"/>
        <color theme="1"/>
        <rFont val="Calibri"/>
        <family val="2"/>
        <scheme val="minor"/>
      </rPr>
      <t>1-3</t>
    </r>
  </si>
  <si>
    <r>
      <t>LGD</t>
    </r>
    <r>
      <rPr>
        <b/>
        <u/>
        <vertAlign val="superscript"/>
        <sz val="11"/>
        <color rgb="FFFF0000"/>
        <rFont val="Calibri"/>
        <family val="2"/>
        <scheme val="minor"/>
      </rPr>
      <t>2-3</t>
    </r>
    <r>
      <rPr>
        <b/>
        <u/>
        <sz val="11"/>
        <color rgb="FFFF0000"/>
        <rFont val="Calibri"/>
        <family val="2"/>
        <scheme val="minor"/>
      </rPr>
      <t xml:space="preserve"> PiT paths</t>
    </r>
  </si>
  <si>
    <r>
      <t>LGD</t>
    </r>
    <r>
      <rPr>
        <vertAlign val="superscript"/>
        <sz val="11"/>
        <color theme="1"/>
        <rFont val="Calibri"/>
        <family val="2"/>
        <scheme val="minor"/>
      </rPr>
      <t>2-3</t>
    </r>
  </si>
  <si>
    <r>
      <t>LGD</t>
    </r>
    <r>
      <rPr>
        <b/>
        <u/>
        <vertAlign val="superscript"/>
        <sz val="11"/>
        <color rgb="FFFF0000"/>
        <rFont val="Calibri"/>
        <family val="2"/>
        <scheme val="minor"/>
      </rPr>
      <t>3-3</t>
    </r>
    <r>
      <rPr>
        <b/>
        <u/>
        <sz val="11"/>
        <color rgb="FFFF0000"/>
        <rFont val="Calibri"/>
        <family val="2"/>
        <scheme val="minor"/>
      </rPr>
      <t xml:space="preserve"> PiT paths</t>
    </r>
  </si>
  <si>
    <r>
      <t>LGD</t>
    </r>
    <r>
      <rPr>
        <vertAlign val="superscript"/>
        <sz val="11"/>
        <color theme="1"/>
        <rFont val="Calibri"/>
        <family val="2"/>
        <scheme val="minor"/>
      </rPr>
      <t>3-3</t>
    </r>
  </si>
  <si>
    <r>
      <t>LR(LT)</t>
    </r>
    <r>
      <rPr>
        <b/>
        <vertAlign val="superscript"/>
        <sz val="11"/>
        <color theme="1"/>
        <rFont val="Calibri"/>
        <family val="2"/>
        <scheme val="minor"/>
      </rPr>
      <t>3-3</t>
    </r>
  </si>
  <si>
    <t>TP2-3 base</t>
  </si>
  <si>
    <t>LGD2-3 base</t>
  </si>
  <si>
    <t>TP2-3 adverse</t>
  </si>
  <si>
    <t>LGD2-3 adverse</t>
  </si>
  <si>
    <t>S1-S2 (LHS) vs. S1-S3 (RHS)</t>
  </si>
  <si>
    <t>S2-S1 (LHS) vs. S2-S3 (RHS)</t>
  </si>
  <si>
    <t>NFC-NONRE</t>
  </si>
  <si>
    <t>Enter starting point 
(2017)</t>
  </si>
  <si>
    <t>Enter starting points 
(2017)</t>
  </si>
  <si>
    <t>PDs</t>
  </si>
  <si>
    <t>DD shift</t>
  </si>
  <si>
    <t>TM T0</t>
  </si>
  <si>
    <t>Slope 1</t>
  </si>
  <si>
    <t>Slope 2</t>
  </si>
  <si>
    <t>INFO / INSTRUCTIONS</t>
  </si>
  <si>
    <r>
      <rPr>
        <u/>
        <sz val="11"/>
        <color theme="1"/>
        <rFont val="Calibri"/>
        <family val="2"/>
        <scheme val="minor"/>
      </rPr>
      <t>loss given default</t>
    </r>
    <r>
      <rPr>
        <sz val="11"/>
        <color theme="1"/>
        <rFont val="Calibri"/>
        <family val="2"/>
        <scheme val="minor"/>
      </rPr>
      <t xml:space="preserve"> (LGDs), </t>
    </r>
    <r>
      <rPr>
        <u/>
        <sz val="11"/>
        <color theme="1"/>
        <rFont val="Calibri"/>
        <family val="2"/>
        <scheme val="minor"/>
      </rPr>
      <t>transition probabilities</t>
    </r>
    <r>
      <rPr>
        <sz val="11"/>
        <color theme="1"/>
        <rFont val="Calibri"/>
        <family val="2"/>
        <scheme val="minor"/>
      </rPr>
      <t xml:space="preserve"> (TPs) in relation to IFRS9 transitions between the stages S1, S2, and S3</t>
    </r>
  </si>
  <si>
    <t>#</t>
  </si>
  <si>
    <t>Parameter</t>
  </si>
  <si>
    <t>Location (cell) on CR Path Generator Tab</t>
  </si>
  <si>
    <t>Comments</t>
  </si>
  <si>
    <t>Risk parameter category</t>
  </si>
  <si>
    <t>LGD1-3</t>
  </si>
  <si>
    <t>TP matrix</t>
  </si>
  <si>
    <t>Country/region</t>
  </si>
  <si>
    <t>EU</t>
  </si>
  <si>
    <t>Non-EU</t>
  </si>
  <si>
    <t>Table 2: Countries/regions</t>
  </si>
  <si>
    <t>Table 3: Portfolio segments</t>
  </si>
  <si>
    <t>Short name</t>
  </si>
  <si>
    <t>Long name</t>
  </si>
  <si>
    <t>Nonfinancial corporate, non-real estate related</t>
  </si>
  <si>
    <t>Nonfinancial corporate, real estate related</t>
  </si>
  <si>
    <t>LGD2-3</t>
  </si>
  <si>
    <t>LGD3-3</t>
  </si>
  <si>
    <t>TP1-1</t>
  </si>
  <si>
    <t>TP1-2</t>
  </si>
  <si>
    <t>TP1-3</t>
  </si>
  <si>
    <t>TP2-1</t>
  </si>
  <si>
    <t>TP2-2</t>
  </si>
  <si>
    <t>TP2-3</t>
  </si>
  <si>
    <t>M</t>
  </si>
  <si>
    <t>C17</t>
  </si>
  <si>
    <t>C24</t>
  </si>
  <si>
    <t>C25</t>
  </si>
  <si>
    <t>C26</t>
  </si>
  <si>
    <t>C33</t>
  </si>
  <si>
    <t>C34</t>
  </si>
  <si>
    <t>C35</t>
  </si>
  <si>
    <t>C42</t>
  </si>
  <si>
    <t>C43</t>
  </si>
  <si>
    <t>C44</t>
  </si>
  <si>
    <t>G51</t>
  </si>
  <si>
    <t>H51</t>
  </si>
  <si>
    <t>I51</t>
  </si>
  <si>
    <t>G52</t>
  </si>
  <si>
    <t>H52</t>
  </si>
  <si>
    <t>I52</t>
  </si>
  <si>
    <t>D79</t>
  </si>
  <si>
    <t>Estimated cure rate for S1 exposures.</t>
  </si>
  <si>
    <t>Estimated cure rate for S2 exposures.</t>
  </si>
  <si>
    <t>Estimated cure rate for S3 exposures.</t>
  </si>
  <si>
    <t>Table 1: Input parameters a bank shall provide on the CR Path Generator Tab</t>
  </si>
  <si>
    <t>%% SCRIPT: Translate PD paths into TP paths via TP-PD bridge equations</t>
  </si>
  <si>
    <t>% marco.gross@ecb.int</t>
  </si>
  <si>
    <t>% 21 Dec 2017</t>
  </si>
  <si>
    <t>clear</t>
  </si>
  <si>
    <t>clc</t>
  </si>
  <si>
    <t>%% Load final projections</t>
  </si>
  <si>
    <t>disp('Loading projections...')</t>
  </si>
  <si>
    <t>addpath('P:\ECB business areas\DGMF\STM\TOOLS\Satellite Model Tools\PD_Models\Models2018\Codes')</t>
  </si>
  <si>
    <t>folder_dataAllmat = 'P:\ECB business areas\DGMF\STM\TOOLS\Satellite Model Tools\PD_Models\Models2018';</t>
  </si>
  <si>
    <t>[projections,~,~] = xlsread([folder_dataAllmat '\PD_Model_Projections_ST2018_fromWrapper_Final.xlsx'],'Final Tables (multiples)','M7:BE34'); % excluding MOO-NFC and sovereigns, and excluding EA/EU aggregates</t>
  </si>
  <si>
    <t>[~,~,ident_range] = xlsread([folder_dataAllmat '\PD_Model_Projections_ST2018_fromWrapper_Final.xlsx'],'Final Tables (multiples)','M1:BE1');</t>
  </si>
  <si>
    <t>[starting_points,~,seg_startpts] = xlsread([folder_dataAllmat '\PD_Model_Projections_ST2018_fromWrapper_Final.xlsx'],'Final Tables (multiples)','BS6:BW34');</t>
  </si>
  <si>
    <t>seg_startpts(2:end,:) = [];</t>
  </si>
  <si>
    <t>[~,~,countrylist] = xlsread([folder_dataAllmat '\PD_Model_Projections_ST2018_fromWrapper_Final.xlsx'],'Final Tables (multiples)','C7:C34');</t>
  </si>
  <si>
    <t>N = length(countrylist);</t>
  </si>
  <si>
    <t>segments = {'NFC-NONRE','NFC-RE','HH-HP','HH-CC','MOO-FIN'};</t>
  </si>
  <si>
    <t>K = length(segments);</t>
  </si>
  <si>
    <t>starting_col_inS = [31 21 1 11];</t>
  </si>
  <si>
    <t>outputfile = 'TPM_ForwardPaths_2ndRound.xlsx';</t>
  </si>
  <si>
    <t>%% Load bridge equations</t>
  </si>
  <si>
    <t>disp('Loading bridge equations...')</t>
  </si>
  <si>
    <t>[slopes12,~,~] = xlsread([folder_dataAllmat '\TP_BridgeEquation_Inputs.xlsx'],'Sheet1','C6:G33');</t>
  </si>
  <si>
    <t>[slopes21,~,~] = xlsread([folder_dataAllmat '\TP_BridgeEquation_Inputs.xlsx'],'Sheet1','K6:O33');</t>
  </si>
  <si>
    <t xml:space="preserve">%% Load TM starting points </t>
  </si>
  <si>
    <t>disp('Loading TM starting point matrices...')</t>
  </si>
  <si>
    <t>% &lt;&lt;&lt; all but FIN &gt;&gt;&gt;</t>
  </si>
  <si>
    <t>cd('P:\ECB business areas\DGMF\STM\TOOLS\Satellite Model Tools\PD_Models\Free_Form_Collection_2018')</t>
  </si>
  <si>
    <t>load Data.mat % with all portfolios but financials</t>
  </si>
  <si>
    <t>cd('P:\ECB business areas\DGMF\STM\TOOLS\Satellite Model Tools\PD_Models\Models2018')</t>
  </si>
  <si>
    <t>% &lt;&lt;&lt; FIN &gt;&gt;&gt;</t>
  </si>
  <si>
    <t>%TM_FIN = [0.79 0.2 0.01 0.4 0.5 0.1];</t>
  </si>
  <si>
    <t>TM_FIN = [0.97 0.02 0.01 0.05 0.9 0.05];</t>
  </si>
  <si>
    <t xml:space="preserve"> </t>
  </si>
  <si>
    <t>%% Load institution/country list</t>
  </si>
  <si>
    <t>[~,~,NMlist] = xlsread([folder_dataAllmat '\BankNMlist.xlsx'],'Sheet1','C3:D51'); % ES4 out, NO all out</t>
  </si>
  <si>
    <t>M = length(NMlist);</t>
  </si>
  <si>
    <t>%% Translation</t>
  </si>
  <si>
    <t>disp('Deriving TP paths...')</t>
  </si>
  <si>
    <t>cd(folder_dataAllmat)</t>
  </si>
  <si>
    <t>for m=1:M</t>
  </si>
  <si>
    <t xml:space="preserve">    progressline(m,M)</t>
  </si>
  <si>
    <t xml:space="preserve">    eval(['currTMt0 = S.data.' char(NMlist(m,1)) ';']);</t>
  </si>
  <si>
    <t xml:space="preserve">    currN = char(NMlist(m,2));</t>
  </si>
  <si>
    <t xml:space="preserve">    if strcmp(currN,'IE')==1</t>
  </si>
  <si>
    <t xml:space="preserve">        currTMt0allS = currTMt0(72,:);</t>
  </si>
  <si>
    <t xml:space="preserve">    elseif strcmp(currN,'ES')==1</t>
  </si>
  <si>
    <t xml:space="preserve">        currTMt0allS = currTMt0(21,:);</t>
  </si>
  <si>
    <t xml:space="preserve">    else</t>
  </si>
  <si>
    <t xml:space="preserve">        currTMt0allS = currTMt0(73,:);</t>
  </si>
  <si>
    <t xml:space="preserve">    end</t>
  </si>
  <si>
    <t xml:space="preserve">    collect = cell(8,K*6);</t>
  </si>
  <si>
    <t xml:space="preserve">    cC = 1;</t>
  </si>
  <si>
    <t xml:space="preserve">    for k=1:K</t>
  </si>
  <si>
    <t xml:space="preserve">        % &lt;&lt;&lt; T0 TM &gt;&gt;&gt;</t>
  </si>
  <si>
    <t xml:space="preserve">        if k&lt;5</t>
  </si>
  <si>
    <t xml:space="preserve">            currTMt0 = currTMt0allS(starting_col_inS(k):starting_col_inS(k)+5);</t>
  </si>
  <si>
    <t xml:space="preserve">            if sum(currTMt0(1:3)==0)&gt;0 || sum(isnan(currTMt0(1:3)))&gt;0</t>
  </si>
  <si>
    <t xml:space="preserve">                currTMt0(1:3) = TM_FIN(1:3);</t>
  </si>
  <si>
    <t xml:space="preserve">            end</t>
  </si>
  <si>
    <t xml:space="preserve">            if sum(currTMt0(4:6)==0)&gt;0 || sum(isnan(currTMt0(4:6)))&gt;0</t>
  </si>
  <si>
    <t xml:space="preserve">                currTMt0(4:6) = TM_FIN(4:6);</t>
  </si>
  <si>
    <t xml:space="preserve">        else</t>
  </si>
  <si>
    <t xml:space="preserve">            currTMt0 = TM_FIN;</t>
  </si>
  <si>
    <t xml:space="preserve">        end</t>
  </si>
  <si>
    <t xml:space="preserve">        % &lt;&lt;&lt; T0-rescaling to be sure &gt;&gt;&gt;</t>
  </si>
  <si>
    <t xml:space="preserve">        currTMt0(1:3) = currTMt0(1:3)./sum(currTMt0(1:3));</t>
  </si>
  <si>
    <t xml:space="preserve">        currTMt0(4:6) = currTMt0(4:6)./sum(currTMt0(4:6));</t>
  </si>
  <si>
    <t xml:space="preserve">        % &lt;&lt;&lt; T0 PDs for corresponding country and segment &gt;&gt;&gt;</t>
  </si>
  <si>
    <t xml:space="preserve">        nn = find(ismember(countrylist,currN));</t>
  </si>
  <si>
    <t xml:space="preserve">            kk = find(ismember(seg_startpts,char(segments(k))));</t>
  </si>
  <si>
    <t xml:space="preserve">            kk = find(ismember(seg_startpts,'MOO-FIN'));</t>
  </si>
  <si>
    <t xml:space="preserve">        PDt0 = starting_points(nn,kk);</t>
  </si>
  <si>
    <t xml:space="preserve">        % &lt;&lt;&lt; PD multiples for corresponding country and segment &gt;&gt;&gt;</t>
  </si>
  <si>
    <t xml:space="preserve">            ss = find(ismember(ident_range,char(segments(k))));</t>
  </si>
  <si>
    <t xml:space="preserve">            ss = find(ismember(ident_range,'MOO-FIN'));</t>
  </si>
  <si>
    <t xml:space="preserve">        Proj = PDt0.*projections(nn,[ss(1:3) ss(7:9)]);</t>
  </si>
  <si>
    <t xml:space="preserve">        % &lt;&lt;&lt; Attach PD forward path to TP13 and TP23 &gt;&gt;&gt;</t>
  </si>
  <si>
    <t xml:space="preserve">        X = NaN(7,6);</t>
  </si>
  <si>
    <t xml:space="preserve">        X(1,:) = currTMt0; % T0</t>
  </si>
  <si>
    <t xml:space="preserve">        dd = norminv(Proj./100,0,1) - norminv(PDt0/100,0,1);</t>
  </si>
  <si>
    <t xml:space="preserve">        X(2:end,3) = normcdf(norminv(X(1,3),0,1) + dd');</t>
  </si>
  <si>
    <t xml:space="preserve">        X(2:end,6) = normcdf(norminv(X(1,6),0,1) + dd');</t>
  </si>
  <si>
    <t xml:space="preserve">        % &lt;&lt;&lt; Get the relevant slope for corresponding country and segment &gt;&gt;&gt;</t>
  </si>
  <si>
    <t xml:space="preserve">        sl12 = slopes12(nn,kk);</t>
  </si>
  <si>
    <t xml:space="preserve">        sl21 = slopes21(nn,kk);</t>
  </si>
  <si>
    <t xml:space="preserve">        % &lt;&lt;&lt; Apply the slope to derive TP1-2 and TP21 &gt;&gt;&gt;</t>
  </si>
  <si>
    <t xml:space="preserve">        X(2:end,2) = normcdf(norminv(X(1,2),0,1) + sl12*dd');</t>
  </si>
  <si>
    <t xml:space="preserve">        X(2:end,4) = normcdf(norminv(X(1,4),0,1) + sl21*dd');</t>
  </si>
  <si>
    <t xml:space="preserve">        % &lt;&lt;&lt; Imply TP11 and TP22 &gt;&gt;&gt;</t>
  </si>
  <si>
    <t xml:space="preserve">        for t=2:7</t>
  </si>
  <si>
    <t xml:space="preserve">            X(t,1) = 1-sum(X(t,2:3));</t>
  </si>
  <si>
    <t xml:space="preserve">            X(t,5) = 1-sum(X(t,[4,6]));</t>
  </si>
  <si>
    <t xml:space="preserve">        % &lt;&lt;&lt; Collect for current institution/country &gt;&gt;&gt;</t>
  </si>
  <si>
    <t xml:space="preserve">        collect(1,cC) = segments(k);</t>
  </si>
  <si>
    <t xml:space="preserve">        collect(2:end,cC:cC+5) = matcell(X);</t>
  </si>
  <si>
    <t xml:space="preserve">        cC = cC+6;</t>
  </si>
  <si>
    <t xml:space="preserve">    Collect{m} = collect; %#ok&lt;SAGROW&gt;</t>
  </si>
  <si>
    <t xml:space="preserve">    xlswrite(outputfile,Collect{m}(2:end,:),char(NMlist(m,1)),'C4')</t>
  </si>
  <si>
    <t>end</t>
  </si>
  <si>
    <t xml:space="preserve">      </t>
  </si>
  <si>
    <t>%% TD LGD model</t>
  </si>
  <si>
    <t>% Dec 2017</t>
  </si>
  <si>
    <t>%% Parameters</t>
  </si>
  <si>
    <t>global LGDt0 CU iLTV CO V</t>
  </si>
  <si>
    <t>LGDt0 = 0.0436;</t>
  </si>
  <si>
    <t xml:space="preserve">CU = 0.4511;     </t>
  </si>
  <si>
    <t>iLTV = 0.8880;</t>
  </si>
  <si>
    <t>hpchange = -0.2888;</t>
  </si>
  <si>
    <t>%LGDt0 = 0.3;    % LGD at T0 from the bank at portfolio level, exposure-weighted</t>
  </si>
  <si>
    <t>%CU = 0.1;       % cure rate at T0 (annual), ideally from the bank</t>
  </si>
  <si>
    <t>%iLTV = 0.45;   % LTV, assuming here it is already re-scaled for it to be a proper exposure-weighted LTV</t>
  </si>
  <si>
    <t>CO = 0.05;      % cost percentage (fraction)</t>
  </si>
  <si>
    <t>V = 0.3;        % volatility of collateral value (fraction)</t>
  </si>
  <si>
    <t xml:space="preserve">%hpchange = -0.2;  % cumulative HP change, fraction </t>
  </si>
  <si>
    <t>%cure_scen = 0.05; % cure rate in the scenario</t>
  </si>
  <si>
    <t>cure_rate_factor = [1 0.75]; % two factors, the first for the baseline and the second for the adverse</t>
  </si>
  <si>
    <t>%% Match T0 LGD</t>
  </si>
  <si>
    <t>sh = fminsearch(@comp_deltaLGD_G,1); % 1 + sales haircut = sales ratio</t>
  </si>
  <si>
    <t xml:space="preserve">%% [ignore] Check that the function optimisation went well, i.e. replicate T0 LGD </t>
  </si>
  <si>
    <t>LGL0 = max((iLTV-eSR(iLTV,1+sh,V,q(iLTV,sh,V)))/iLTV,0);</t>
  </si>
  <si>
    <t>LGD0 = min(1,(1-CU)*LGL0+CO);</t>
  </si>
  <si>
    <t>disp(['final effective sales ratio = ' num2str(eSR(iLTV,1+sh,V,q(iLTV,sh,V)))])</t>
  </si>
  <si>
    <t>%% LGD in a scenario - Model with distribution</t>
  </si>
  <si>
    <t>sLTV = iLTV/(1+hpchange);</t>
  </si>
  <si>
    <t>LGL_scen = max((sLTV-eSR(sLTV,1+sh,V,q(sLTV,sh,V)))/sLTV,0);</t>
  </si>
  <si>
    <t>LGD_scen = ((1-CU*cure_rate_factor(2))*LGL_scen)+CO;</t>
  </si>
  <si>
    <t>disp(['LTV in the scenario = ' num2str(sLTV)])</t>
  </si>
  <si>
    <t>disp(['LGD in the scenario = ' num2str(LGD_scen)])</t>
  </si>
  <si>
    <t>%% [ignore] LGD from simple recovery rate re-scaling approach, without distributional elements</t>
  </si>
  <si>
    <t>LGD_scen_simple = min(1,1+(-(1-LGDt0)*(1+hpchange)));</t>
  </si>
  <si>
    <t>disp(['LGD (simple) in the scenario = ' num2str(LGD_scen_simple)])</t>
  </si>
  <si>
    <t>Scenario-conditional sovereign PD paths</t>
  </si>
  <si>
    <t>Sovereign LGD</t>
  </si>
  <si>
    <r>
      <t xml:space="preserve">This tool allows a participating bank to obtain the stress test benchmark parameter paths for </t>
    </r>
    <r>
      <rPr>
        <u/>
        <sz val="11"/>
        <color theme="1"/>
        <rFont val="Calibri"/>
        <family val="2"/>
        <scheme val="minor"/>
      </rPr>
      <t>probabilities of default</t>
    </r>
    <r>
      <rPr>
        <sz val="11"/>
        <color theme="1"/>
        <rFont val="Calibri"/>
        <family val="2"/>
        <scheme val="minor"/>
      </rPr>
      <t xml:space="preserve"> (PDs),</t>
    </r>
  </si>
  <si>
    <t xml:space="preserve">is to be used specifically for the risk parameters in relation to sovereign banking book exposures. </t>
  </si>
  <si>
    <t xml:space="preserve">The tool conditions the risk parameter forward paths not only on the underlying scenario but also on the </t>
  </si>
  <si>
    <r>
      <t xml:space="preserve">as well as relevant </t>
    </r>
    <r>
      <rPr>
        <u/>
        <sz val="11"/>
        <color theme="1"/>
        <rFont val="Calibri"/>
        <family val="2"/>
        <scheme val="minor"/>
      </rPr>
      <t>lifetime loss rate parameters</t>
    </r>
    <r>
      <rPr>
        <sz val="11"/>
        <color theme="1"/>
        <rFont val="Calibri"/>
        <family val="2"/>
        <scheme val="minor"/>
      </rPr>
      <t xml:space="preserve"> (LR-LT) in the context of the 2018 stress test exercise (ST2018). </t>
    </r>
  </si>
  <si>
    <r>
      <t xml:space="preserve">The </t>
    </r>
    <r>
      <rPr>
        <u/>
        <sz val="11"/>
        <color theme="1"/>
        <rFont val="Calibri"/>
        <family val="2"/>
        <scheme val="minor"/>
      </rPr>
      <t>CR Path Generator</t>
    </r>
    <r>
      <rPr>
        <sz val="11"/>
        <color theme="1"/>
        <rFont val="Calibri"/>
        <family val="2"/>
        <scheme val="minor"/>
      </rPr>
      <t xml:space="preserve"> tab contains all operations in relation to portfolio segments other than sovereign. The </t>
    </r>
    <r>
      <rPr>
        <u/>
        <sz val="11"/>
        <color theme="1"/>
        <rFont val="Calibri"/>
        <family val="2"/>
        <scheme val="minor"/>
      </rPr>
      <t>Sovereign</t>
    </r>
    <r>
      <rPr>
        <sz val="11"/>
        <color theme="1"/>
        <rFont val="Calibri"/>
        <family val="2"/>
        <scheme val="minor"/>
      </rPr>
      <t xml:space="preserve"> tab</t>
    </r>
  </si>
  <si>
    <t xml:space="preserve">Upon entering the relevant starting point risk parameters as of 2017, the tool provides the parameter paths  </t>
  </si>
  <si>
    <t>conditional on the macro-financial scenarios (baseline and adverse) which are the basis for the ST2018 exercise.</t>
  </si>
  <si>
    <t>starting point parameterisation provided by the user.</t>
  </si>
  <si>
    <r>
      <rPr>
        <u/>
        <sz val="11"/>
        <color theme="1"/>
        <rFont val="Calibri"/>
        <family val="2"/>
        <scheme val="minor"/>
      </rPr>
      <t>Table 1</t>
    </r>
    <r>
      <rPr>
        <sz val="11"/>
        <color theme="1"/>
        <rFont val="Calibri"/>
        <family val="2"/>
        <scheme val="minor"/>
      </rPr>
      <t xml:space="preserve"> summarises the parameters that the tool comprises, for which forward paths for the years 2018-2020 under the scenarios are derived.</t>
    </r>
  </si>
  <si>
    <r>
      <rPr>
        <u/>
        <sz val="11"/>
        <color theme="1"/>
        <rFont val="Calibri"/>
        <family val="2"/>
        <scheme val="minor"/>
      </rPr>
      <t>Table 2</t>
    </r>
    <r>
      <rPr>
        <sz val="11"/>
        <color theme="1"/>
        <rFont val="Calibri"/>
        <family val="2"/>
        <scheme val="minor"/>
      </rPr>
      <t xml:space="preserve"> summarises the countries and regions the user can choose. </t>
    </r>
    <r>
      <rPr>
        <u/>
        <sz val="11"/>
        <color theme="1"/>
        <rFont val="Calibri"/>
        <family val="2"/>
        <scheme val="minor"/>
      </rPr>
      <t>Table 3</t>
    </r>
    <r>
      <rPr>
        <sz val="11"/>
        <color theme="1"/>
        <rFont val="Calibri"/>
        <family val="2"/>
        <scheme val="minor"/>
      </rPr>
      <t xml:space="preserve"> summarises the portfolio segments the user can select. </t>
    </r>
  </si>
  <si>
    <t xml:space="preserve">There are up to 17 risk parameters as of the reference year 2017 which the user may wish to enter on the CR Path Generator tab. </t>
  </si>
  <si>
    <t xml:space="preserve">PD </t>
  </si>
  <si>
    <t>S1/S2-exposure weighted average of TP1-3 (12M) and TP2-3 (12M) as of 2017</t>
  </si>
  <si>
    <t>LGD (12M) for existing S3 exposures. LR(LT)3-3 is set equal to the resulting scenario path for LGD3-3.</t>
  </si>
  <si>
    <t>LGD (12M) for existing S2 exposures. Required input (combined with TP2-3 path) for derivation of LR(LT)1-2 and LR(LT)2-X.</t>
  </si>
  <si>
    <t xml:space="preserve">LGD (12M) for S1 exposures. </t>
  </si>
  <si>
    <t>LTV for S1 exposures (ideally loan-volume weighted).</t>
  </si>
  <si>
    <t>LTV for S2 exposures (ideally loan-volume weighted).</t>
  </si>
  <si>
    <t>LTV for S3 exposures (ideally loan-volume weighted).</t>
  </si>
  <si>
    <t>Transition probabilities with respect to transitions of initial S1 and S2 exposures. Each row of the matrix has to sum to 100%.
TP2-3 combined with LGD2-3 are used as input for the derivation of the LR(LT)1-2 and LR(LT)2-X parameters.</t>
  </si>
  <si>
    <t>Portfolio-level average residual maturity (permissable range: integers from 1-50 years).</t>
  </si>
  <si>
    <t>Portfolio type</t>
  </si>
  <si>
    <t>Benchmark PD/LGD model</t>
  </si>
  <si>
    <t>AIRB and FIRB</t>
  </si>
  <si>
    <t>Central banks and central governments</t>
  </si>
  <si>
    <t>Institutions</t>
  </si>
  <si>
    <t>Corporates</t>
  </si>
  <si>
    <t xml:space="preserve">    Specialised Lending</t>
  </si>
  <si>
    <t xml:space="preserve">        Real Estate Related</t>
  </si>
  <si>
    <t xml:space="preserve">        Non Real Estate Related</t>
  </si>
  <si>
    <t xml:space="preserve">    SME</t>
  </si>
  <si>
    <t xml:space="preserve">    Other</t>
  </si>
  <si>
    <t>Retail</t>
  </si>
  <si>
    <t xml:space="preserve">    Secured on real estate property</t>
  </si>
  <si>
    <t xml:space="preserve">        SME</t>
  </si>
  <si>
    <t xml:space="preserve">        Non SME</t>
  </si>
  <si>
    <t xml:space="preserve">             (OPTIONAL) of which: Residential guaranteed loans (Prêts cautionnés) insured by an eligible residential property loan guarantor</t>
  </si>
  <si>
    <t xml:space="preserve">             (OPTIONAL) of which: other than Residential guaranteed loans (Prêts cautionnés) insured by an eligible residential property loan guarantor</t>
  </si>
  <si>
    <t xml:space="preserve">             (OPTIONAL) of which: Owner Occupier</t>
  </si>
  <si>
    <t xml:space="preserve">             (OPTIONAL) of which: Buy to let</t>
  </si>
  <si>
    <t xml:space="preserve">             (OPTIONAL) of which: Other secured by real estate property</t>
  </si>
  <si>
    <t xml:space="preserve">    Qualifying Revolving</t>
  </si>
  <si>
    <t>Equity</t>
  </si>
  <si>
    <t>Securitisation</t>
  </si>
  <si>
    <t>Other non-credit obligation assets</t>
  </si>
  <si>
    <t>TOTAL</t>
  </si>
  <si>
    <t>STA</t>
  </si>
  <si>
    <t>Central governments or central banks</t>
  </si>
  <si>
    <t xml:space="preserve">Regional governments or local authorities </t>
  </si>
  <si>
    <t>Public sector entities</t>
  </si>
  <si>
    <t xml:space="preserve">Multilateral Development Banks </t>
  </si>
  <si>
    <t>International Organisations</t>
  </si>
  <si>
    <t xml:space="preserve">Corporates </t>
  </si>
  <si>
    <t>For the non-RE portion of corporates (whether SME or non-SME), NFC non-RE model benchmarks are to be applied. For the RE portion of corporates (whether SME or non-SME), the NFC-RE benchmarks are to be applied.</t>
  </si>
  <si>
    <t xml:space="preserve">    Non SME</t>
  </si>
  <si>
    <t>For the non-RE portion of retail (whether SME or non-SME), HH-CC model benchmarks are to be applied. For the RE portion of retails (whether SME or non-SME), the HH-HP benchmarks are to be applied.</t>
  </si>
  <si>
    <t>Secured by mortgages on immovable property</t>
  </si>
  <si>
    <t>Items associated with particularly high risk</t>
  </si>
  <si>
    <t>Covered bonds</t>
  </si>
  <si>
    <t>Claims on institutions and corporates with a ST credit assessment</t>
  </si>
  <si>
    <t>Collective investments undertakings (CIU)</t>
  </si>
  <si>
    <t>Other exposures</t>
  </si>
  <si>
    <t>The table below shows how the portfolio segments as defined in the EBA templates are to be mapped into the model segments that can be choosen on the Path Generator tab.</t>
  </si>
  <si>
    <r>
      <t>LR(LT)</t>
    </r>
    <r>
      <rPr>
        <b/>
        <vertAlign val="superscript"/>
        <sz val="11"/>
        <color theme="1"/>
        <rFont val="Calibri"/>
        <family val="2"/>
        <scheme val="minor"/>
      </rPr>
      <t>2-X</t>
    </r>
  </si>
  <si>
    <r>
      <t>LR(LT)</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</si>
</sst>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
    <numFmt numFmtId="167"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b/>
      <u/>
      <sz val="11"/>
      <color theme="1"/>
      <name val="Calibri"/>
      <family val="2"/>
      <scheme val="minor"/>
    </font>
    <font>
      <i/>
      <sz val="11"/>
      <color theme="0" tint="-0.499984740745262"/>
      <name val="Calibri"/>
      <family val="2"/>
      <scheme val="minor"/>
    </font>
    <font>
      <u/>
      <sz val="11"/>
      <color theme="1"/>
      <name val="Calibri"/>
      <family val="2"/>
      <scheme val="minor"/>
    </font>
    <font>
      <i/>
      <sz val="11"/>
      <color theme="1"/>
      <name val="Calibri"/>
      <family val="2"/>
      <scheme val="minor"/>
    </font>
    <font>
      <sz val="11"/>
      <color theme="0" tint="-0.249977111117893"/>
      <name val="Calibri"/>
      <family val="2"/>
      <scheme val="minor"/>
    </font>
    <font>
      <sz val="11"/>
      <name val="Calibri"/>
      <family val="2"/>
      <scheme val="minor"/>
    </font>
    <font>
      <b/>
      <u/>
      <sz val="11"/>
      <color rgb="FFFF0000"/>
      <name val="Calibri"/>
      <family val="2"/>
      <scheme val="minor"/>
    </font>
    <font>
      <b/>
      <u/>
      <vertAlign val="superscript"/>
      <sz val="11"/>
      <color rgb="FFFF0000"/>
      <name val="Calibri"/>
      <family val="2"/>
      <scheme val="minor"/>
    </font>
    <font>
      <vertAlign val="superscript"/>
      <sz val="11"/>
      <color theme="1"/>
      <name val="Calibri"/>
      <family val="2"/>
      <scheme val="minor"/>
    </font>
    <font>
      <b/>
      <vertAlign val="superscript"/>
      <sz val="11"/>
      <color theme="1"/>
      <name val="Calibri"/>
      <family val="2"/>
      <scheme val="minor"/>
    </font>
    <font>
      <sz val="11"/>
      <color theme="0" tint="-0.34998626667073579"/>
      <name val="Calibri"/>
      <family val="2"/>
      <scheme val="minor"/>
    </font>
    <font>
      <b/>
      <sz val="11"/>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4"/>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right style="thin">
        <color theme="0" tint="-0.2499465926084170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theme="0" tint="-0.24994659260841701"/>
      </right>
      <top style="thin">
        <color indexed="64"/>
      </top>
      <bottom/>
      <diagonal/>
    </border>
    <border>
      <left/>
      <right style="thin">
        <color theme="0" tint="-0.24994659260841701"/>
      </right>
      <top/>
      <bottom style="double">
        <color indexed="64"/>
      </bottom>
      <diagonal/>
    </border>
    <border>
      <left/>
      <right style="thin">
        <color theme="0" tint="-0.24994659260841701"/>
      </right>
      <top style="double">
        <color indexed="64"/>
      </top>
      <bottom style="thin">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style="double">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style="double">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bottom style="thin">
        <color theme="0" tint="-0.24994659260841701"/>
      </bottom>
      <diagonal/>
    </border>
  </borders>
  <cellStyleXfs count="2">
    <xf numFmtId="0" fontId="0" fillId="0" borderId="0"/>
    <xf numFmtId="9" fontId="1" fillId="0" borderId="0" applyFont="0" applyFill="0" applyBorder="0" applyAlignment="0" applyProtection="0"/>
  </cellStyleXfs>
  <cellXfs count="442">
    <xf numFmtId="0" fontId="0" fillId="0" borderId="0" xfId="0"/>
    <xf numFmtId="0" fontId="0" fillId="0" borderId="0" xfId="0" applyAlignment="1">
      <alignment horizontal="center"/>
    </xf>
    <xf numFmtId="0" fontId="8" fillId="0" borderId="0" xfId="0" applyFont="1"/>
    <xf numFmtId="0" fontId="2" fillId="0" borderId="0" xfId="0" applyFont="1"/>
    <xf numFmtId="0" fontId="0" fillId="0" borderId="28" xfId="0" applyBorder="1"/>
    <xf numFmtId="0" fontId="0" fillId="0" borderId="8" xfId="0" applyBorder="1"/>
    <xf numFmtId="0" fontId="0" fillId="0" borderId="9" xfId="0" applyBorder="1"/>
    <xf numFmtId="0" fontId="0" fillId="0" borderId="7" xfId="0" applyBorder="1"/>
    <xf numFmtId="0" fontId="0" fillId="0" borderId="0" xfId="0" applyBorder="1"/>
    <xf numFmtId="0" fontId="0" fillId="0" borderId="17" xfId="0" applyBorder="1"/>
    <xf numFmtId="0" fontId="0" fillId="0" borderId="2" xfId="0" applyBorder="1"/>
    <xf numFmtId="0" fontId="0" fillId="0" borderId="3" xfId="0" applyBorder="1"/>
    <xf numFmtId="0" fontId="0" fillId="0" borderId="4" xfId="0"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164" fontId="0" fillId="0" borderId="0" xfId="1" applyNumberFormat="1" applyFont="1" applyBorder="1"/>
    <xf numFmtId="10" fontId="0" fillId="0" borderId="5" xfId="1" applyNumberFormat="1" applyFont="1" applyBorder="1" applyAlignment="1">
      <alignment horizontal="center"/>
    </xf>
    <xf numFmtId="0" fontId="0" fillId="0" borderId="5" xfId="0" applyBorder="1" applyAlignment="1">
      <alignment horizontal="center"/>
    </xf>
    <xf numFmtId="0" fontId="0" fillId="0" borderId="14" xfId="0" applyBorder="1"/>
    <xf numFmtId="0" fontId="0" fillId="0" borderId="15" xfId="0" applyBorder="1"/>
    <xf numFmtId="0" fontId="0" fillId="0" borderId="16" xfId="0" applyBorder="1"/>
    <xf numFmtId="0" fontId="0" fillId="0" borderId="0" xfId="0" applyFill="1" applyBorder="1"/>
    <xf numFmtId="0" fontId="0" fillId="0" borderId="3" xfId="0" applyFill="1" applyBorder="1"/>
    <xf numFmtId="2" fontId="0" fillId="0" borderId="14"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10" fontId="0" fillId="0" borderId="14" xfId="1" applyNumberFormat="1" applyFont="1" applyBorder="1" applyAlignment="1">
      <alignment horizontal="center"/>
    </xf>
    <xf numFmtId="10" fontId="0" fillId="0" borderId="15" xfId="1" applyNumberFormat="1" applyFont="1" applyBorder="1" applyAlignment="1">
      <alignment horizontal="center"/>
    </xf>
    <xf numFmtId="10" fontId="0" fillId="0" borderId="16" xfId="1" applyNumberFormat="1" applyFont="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28" xfId="0" applyFont="1" applyFill="1" applyBorder="1" applyAlignment="1">
      <alignment horizontal="center"/>
    </xf>
    <xf numFmtId="164" fontId="0" fillId="8" borderId="6" xfId="1" applyNumberFormat="1" applyFont="1" applyFill="1" applyBorder="1" applyAlignment="1">
      <alignment horizontal="center"/>
    </xf>
    <xf numFmtId="164" fontId="0" fillId="8" borderId="7" xfId="1" applyNumberFormat="1" applyFont="1" applyFill="1" applyBorder="1" applyAlignment="1">
      <alignment horizontal="center"/>
    </xf>
    <xf numFmtId="164" fontId="0" fillId="0" borderId="7" xfId="1" applyNumberFormat="1" applyFont="1" applyBorder="1" applyAlignment="1">
      <alignment horizontal="center"/>
    </xf>
    <xf numFmtId="164" fontId="0" fillId="0" borderId="0" xfId="1" applyNumberFormat="1" applyFont="1" applyBorder="1" applyAlignment="1">
      <alignment horizontal="center"/>
    </xf>
    <xf numFmtId="164" fontId="0" fillId="0" borderId="17" xfId="1" applyNumberFormat="1" applyFont="1" applyBorder="1" applyAlignment="1">
      <alignment horizontal="center"/>
    </xf>
    <xf numFmtId="2" fontId="0" fillId="0" borderId="28" xfId="0" applyNumberFormat="1" applyFill="1" applyBorder="1" applyAlignment="1">
      <alignment horizontal="center"/>
    </xf>
    <xf numFmtId="164" fontId="0" fillId="5" borderId="9" xfId="1" applyNumberFormat="1" applyFont="1" applyFill="1" applyBorder="1" applyAlignment="1">
      <alignment horizontal="center"/>
    </xf>
    <xf numFmtId="2" fontId="0" fillId="0" borderId="8" xfId="1" applyNumberFormat="1" applyFont="1" applyFill="1" applyBorder="1" applyAlignment="1">
      <alignment horizontal="center"/>
    </xf>
    <xf numFmtId="164" fontId="0" fillId="0" borderId="27" xfId="1" applyNumberFormat="1" applyFont="1" applyBorder="1" applyAlignment="1">
      <alignment horizontal="center"/>
    </xf>
    <xf numFmtId="164" fontId="0" fillId="9" borderId="0" xfId="1" applyNumberFormat="1" applyFont="1" applyFill="1" applyBorder="1" applyAlignment="1">
      <alignment horizontal="center"/>
    </xf>
    <xf numFmtId="164" fontId="0" fillId="6" borderId="7" xfId="1" applyNumberFormat="1" applyFont="1" applyFill="1" applyBorder="1" applyAlignment="1">
      <alignment horizontal="center"/>
    </xf>
    <xf numFmtId="164" fontId="0" fillId="6" borderId="17" xfId="1" applyNumberFormat="1" applyFont="1" applyFill="1" applyBorder="1" applyAlignment="1">
      <alignment horizontal="center"/>
    </xf>
    <xf numFmtId="0" fontId="2" fillId="0" borderId="7" xfId="0" applyFont="1" applyFill="1" applyBorder="1" applyAlignment="1">
      <alignment horizontal="center"/>
    </xf>
    <xf numFmtId="2" fontId="0" fillId="0" borderId="7" xfId="0" applyNumberFormat="1" applyFill="1" applyBorder="1" applyAlignment="1">
      <alignment horizontal="center"/>
    </xf>
    <xf numFmtId="2" fontId="0" fillId="0" borderId="0" xfId="1" applyNumberFormat="1" applyFont="1" applyFill="1" applyBorder="1" applyAlignment="1">
      <alignment horizontal="center"/>
    </xf>
    <xf numFmtId="164" fontId="0" fillId="0" borderId="6" xfId="1" applyNumberFormat="1"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164" fontId="0" fillId="8" borderId="1" xfId="1" applyNumberFormat="1" applyFont="1" applyFill="1" applyBorder="1" applyAlignment="1">
      <alignment horizontal="center"/>
    </xf>
    <xf numFmtId="164" fontId="0" fillId="8" borderId="2" xfId="1" applyNumberFormat="1" applyFont="1" applyFill="1" applyBorder="1" applyAlignment="1">
      <alignment horizontal="center"/>
    </xf>
    <xf numFmtId="164" fontId="0" fillId="0" borderId="2" xfId="1" applyNumberFormat="1" applyFont="1" applyBorder="1" applyAlignment="1">
      <alignment horizontal="center"/>
    </xf>
    <xf numFmtId="164" fontId="0" fillId="0" borderId="3" xfId="1" applyNumberFormat="1" applyFont="1" applyBorder="1" applyAlignment="1">
      <alignment horizontal="center"/>
    </xf>
    <xf numFmtId="164" fontId="0" fillId="0" borderId="4" xfId="1" applyNumberFormat="1" applyFont="1" applyBorder="1" applyAlignment="1">
      <alignment horizontal="center"/>
    </xf>
    <xf numFmtId="2" fontId="0" fillId="0" borderId="2" xfId="0" applyNumberFormat="1" applyFill="1" applyBorder="1" applyAlignment="1">
      <alignment horizontal="center"/>
    </xf>
    <xf numFmtId="164" fontId="0" fillId="5" borderId="4" xfId="1" applyNumberFormat="1" applyFont="1" applyFill="1" applyBorder="1" applyAlignment="1">
      <alignment horizontal="center"/>
    </xf>
    <xf numFmtId="2" fontId="0" fillId="0" borderId="3" xfId="1" applyNumberFormat="1" applyFont="1" applyFill="1" applyBorder="1" applyAlignment="1">
      <alignment horizontal="center"/>
    </xf>
    <xf numFmtId="164" fontId="0" fillId="5" borderId="2" xfId="1" applyNumberFormat="1" applyFont="1" applyFill="1" applyBorder="1" applyAlignment="1">
      <alignment horizontal="center"/>
    </xf>
    <xf numFmtId="164" fontId="0" fillId="0" borderId="1" xfId="1" applyNumberFormat="1" applyFont="1" applyBorder="1" applyAlignment="1">
      <alignment horizontal="center"/>
    </xf>
    <xf numFmtId="164" fontId="0" fillId="6" borderId="2" xfId="1" applyNumberFormat="1" applyFont="1" applyFill="1" applyBorder="1" applyAlignment="1">
      <alignment horizontal="center"/>
    </xf>
    <xf numFmtId="164" fontId="0" fillId="6" borderId="4" xfId="1" applyNumberFormat="1" applyFont="1" applyFill="1" applyBorder="1" applyAlignment="1">
      <alignment horizontal="center"/>
    </xf>
    <xf numFmtId="0" fontId="2" fillId="0" borderId="1" xfId="0" applyFont="1" applyBorder="1" applyAlignment="1">
      <alignment horizontal="center"/>
    </xf>
    <xf numFmtId="164" fontId="0" fillId="9" borderId="9" xfId="1" applyNumberFormat="1" applyFont="1" applyFill="1" applyBorder="1" applyAlignment="1">
      <alignment horizontal="center"/>
    </xf>
    <xf numFmtId="164" fontId="0" fillId="9" borderId="17" xfId="1" applyNumberFormat="1" applyFont="1" applyFill="1" applyBorder="1" applyAlignment="1">
      <alignment horizontal="center"/>
    </xf>
    <xf numFmtId="0" fontId="0" fillId="0" borderId="0" xfId="0" applyAlignment="1">
      <alignment horizontal="left"/>
    </xf>
    <xf numFmtId="0" fontId="2" fillId="0" borderId="27" xfId="0" applyFont="1" applyBorder="1" applyAlignment="1">
      <alignment horizontal="center"/>
    </xf>
    <xf numFmtId="164" fontId="0" fillId="9" borderId="2" xfId="1" applyNumberFormat="1" applyFont="1" applyFill="1" applyBorder="1" applyAlignment="1">
      <alignment horizontal="center"/>
    </xf>
    <xf numFmtId="164" fontId="0" fillId="9" borderId="4" xfId="1" applyNumberFormat="1" applyFont="1" applyFill="1" applyBorder="1" applyAlignment="1">
      <alignment horizontal="center"/>
    </xf>
    <xf numFmtId="0" fontId="0" fillId="0" borderId="0" xfId="0" applyAlignment="1">
      <alignment horizontal="center"/>
    </xf>
    <xf numFmtId="164" fontId="0" fillId="0" borderId="28" xfId="1" applyNumberFormat="1" applyFont="1" applyBorder="1" applyAlignment="1">
      <alignment horizontal="center"/>
    </xf>
    <xf numFmtId="164" fontId="0" fillId="0" borderId="9" xfId="1" applyNumberFormat="1" applyFont="1" applyBorder="1" applyAlignment="1">
      <alignment horizontal="center"/>
    </xf>
    <xf numFmtId="164" fontId="0" fillId="4" borderId="9" xfId="1" applyNumberFormat="1" applyFont="1" applyFill="1" applyBorder="1" applyAlignment="1">
      <alignment horizontal="center"/>
    </xf>
    <xf numFmtId="164" fontId="0" fillId="4" borderId="17" xfId="1" applyNumberFormat="1" applyFont="1" applyFill="1" applyBorder="1" applyAlignment="1">
      <alignment horizontal="center"/>
    </xf>
    <xf numFmtId="164" fontId="0" fillId="4" borderId="4" xfId="1" applyNumberFormat="1" applyFont="1" applyFill="1" applyBorder="1" applyAlignment="1">
      <alignment horizontal="center"/>
    </xf>
    <xf numFmtId="164" fontId="0" fillId="9" borderId="8" xfId="1" applyNumberFormat="1" applyFont="1" applyFill="1" applyBorder="1" applyAlignment="1">
      <alignment horizontal="center"/>
    </xf>
    <xf numFmtId="164" fontId="0" fillId="0" borderId="8" xfId="1" applyNumberFormat="1" applyFont="1" applyBorder="1" applyAlignment="1">
      <alignment horizontal="center"/>
    </xf>
    <xf numFmtId="165" fontId="0" fillId="0" borderId="27" xfId="0" applyNumberFormat="1" applyBorder="1" applyAlignment="1">
      <alignment horizontal="center"/>
    </xf>
    <xf numFmtId="164" fontId="0" fillId="5" borderId="28" xfId="1" applyNumberFormat="1" applyFont="1" applyFill="1" applyBorder="1" applyAlignment="1">
      <alignment horizontal="center"/>
    </xf>
    <xf numFmtId="164" fontId="0" fillId="6" borderId="28" xfId="1" applyNumberFormat="1" applyFont="1" applyFill="1" applyBorder="1" applyAlignment="1">
      <alignment horizontal="center"/>
    </xf>
    <xf numFmtId="164" fontId="0" fillId="6" borderId="9" xfId="1" applyNumberFormat="1" applyFont="1" applyFill="1" applyBorder="1" applyAlignment="1">
      <alignment horizontal="center"/>
    </xf>
    <xf numFmtId="165" fontId="0" fillId="0" borderId="6" xfId="0" applyNumberFormat="1" applyBorder="1" applyAlignment="1">
      <alignment horizontal="center"/>
    </xf>
    <xf numFmtId="165" fontId="0" fillId="0" borderId="1" xfId="0" applyNumberFormat="1" applyBorder="1" applyAlignment="1">
      <alignment horizontal="center"/>
    </xf>
    <xf numFmtId="164" fontId="0" fillId="7" borderId="4" xfId="1" applyNumberFormat="1" applyFont="1" applyFill="1" applyBorder="1" applyAlignment="1">
      <alignment horizontal="center"/>
    </xf>
    <xf numFmtId="164" fontId="0" fillId="7" borderId="2" xfId="1" applyNumberFormat="1" applyFont="1" applyFill="1" applyBorder="1" applyAlignment="1">
      <alignment horizontal="center"/>
    </xf>
    <xf numFmtId="164" fontId="0" fillId="0" borderId="17" xfId="1" applyNumberFormat="1" applyFont="1" applyFill="1" applyBorder="1" applyAlignment="1">
      <alignment horizontal="center"/>
    </xf>
    <xf numFmtId="164" fontId="0" fillId="0" borderId="7" xfId="1" applyNumberFormat="1" applyFont="1" applyFill="1" applyBorder="1" applyAlignment="1">
      <alignment horizontal="center"/>
    </xf>
    <xf numFmtId="164" fontId="0" fillId="0" borderId="6" xfId="1" applyNumberFormat="1" applyFont="1" applyFill="1" applyBorder="1" applyAlignment="1">
      <alignment horizontal="center"/>
    </xf>
    <xf numFmtId="164" fontId="0" fillId="0" borderId="4" xfId="1" applyNumberFormat="1" applyFont="1" applyFill="1" applyBorder="1" applyAlignment="1">
      <alignment horizontal="center"/>
    </xf>
    <xf numFmtId="164" fontId="0" fillId="0" borderId="2" xfId="1" applyNumberFormat="1" applyFont="1" applyFill="1" applyBorder="1" applyAlignment="1">
      <alignment horizontal="center"/>
    </xf>
    <xf numFmtId="164" fontId="0" fillId="0" borderId="1" xfId="1" applyNumberFormat="1" applyFont="1" applyFill="1" applyBorder="1" applyAlignment="1">
      <alignment horizontal="center"/>
    </xf>
    <xf numFmtId="0" fontId="0" fillId="0" borderId="27" xfId="0" applyBorder="1" applyAlignment="1">
      <alignment horizontal="left"/>
    </xf>
    <xf numFmtId="0" fontId="0" fillId="0" borderId="6" xfId="0" applyBorder="1" applyAlignment="1">
      <alignment horizontal="left"/>
    </xf>
    <xf numFmtId="0" fontId="0" fillId="0" borderId="1" xfId="0" applyBorder="1" applyAlignment="1">
      <alignment horizontal="left"/>
    </xf>
    <xf numFmtId="0" fontId="0" fillId="7" borderId="5" xfId="0" applyFill="1" applyBorder="1" applyAlignment="1">
      <alignment horizontal="left"/>
    </xf>
    <xf numFmtId="0" fontId="0" fillId="2" borderId="0" xfId="0" applyFill="1" applyAlignment="1">
      <alignment horizontal="center" vertical="center"/>
    </xf>
    <xf numFmtId="0" fontId="0" fillId="0" borderId="14" xfId="0" applyBorder="1" applyAlignment="1">
      <alignment horizontal="center"/>
    </xf>
    <xf numFmtId="0" fontId="0" fillId="0" borderId="16" xfId="0" applyBorder="1" applyAlignment="1">
      <alignment horizontal="center"/>
    </xf>
    <xf numFmtId="10" fontId="0" fillId="0" borderId="28" xfId="1" applyNumberFormat="1" applyFont="1" applyBorder="1"/>
    <xf numFmtId="10" fontId="0" fillId="0" borderId="8" xfId="1" applyNumberFormat="1" applyFont="1" applyBorder="1"/>
    <xf numFmtId="10" fontId="0" fillId="0" borderId="7" xfId="1" applyNumberFormat="1" applyFont="1" applyBorder="1"/>
    <xf numFmtId="10" fontId="0" fillId="0" borderId="0" xfId="1" applyNumberFormat="1" applyFont="1" applyBorder="1"/>
    <xf numFmtId="10" fontId="0" fillId="0" borderId="2" xfId="1" applyNumberFormat="1" applyFont="1" applyBorder="1"/>
    <xf numFmtId="10" fontId="0" fillId="0" borderId="3" xfId="1" applyNumberFormat="1" applyFont="1" applyBorder="1"/>
    <xf numFmtId="166" fontId="0" fillId="0" borderId="9" xfId="1" applyNumberFormat="1" applyFont="1" applyBorder="1"/>
    <xf numFmtId="166" fontId="0" fillId="0" borderId="17" xfId="1" applyNumberFormat="1" applyFont="1" applyBorder="1"/>
    <xf numFmtId="166" fontId="0" fillId="0" borderId="4" xfId="1" applyNumberFormat="1" applyFont="1" applyBorder="1"/>
    <xf numFmtId="164" fontId="0" fillId="0" borderId="28"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0" xfId="1" applyNumberFormat="1" applyFont="1" applyFill="1" applyBorder="1" applyAlignment="1">
      <alignment horizontal="center"/>
    </xf>
    <xf numFmtId="10" fontId="0" fillId="0" borderId="0" xfId="0" applyNumberFormat="1"/>
    <xf numFmtId="10" fontId="0" fillId="4" borderId="0" xfId="0" applyNumberFormat="1" applyFill="1"/>
    <xf numFmtId="1" fontId="0" fillId="4" borderId="0" xfId="0" applyNumberFormat="1" applyFill="1"/>
    <xf numFmtId="10" fontId="0" fillId="6" borderId="0" xfId="0" applyNumberFormat="1" applyFill="1"/>
    <xf numFmtId="10" fontId="0" fillId="0" borderId="0" xfId="0" applyNumberFormat="1" applyFill="1"/>
    <xf numFmtId="10" fontId="0" fillId="0" borderId="14" xfId="0" applyNumberFormat="1" applyBorder="1"/>
    <xf numFmtId="10" fontId="0" fillId="0" borderId="15" xfId="0" applyNumberFormat="1" applyBorder="1" applyAlignment="1">
      <alignment horizontal="center" vertical="center"/>
    </xf>
    <xf numFmtId="10" fontId="0" fillId="0" borderId="16" xfId="0" applyNumberFormat="1" applyBorder="1"/>
    <xf numFmtId="10" fontId="0" fillId="0" borderId="0" xfId="0" applyNumberFormat="1" applyAlignment="1">
      <alignment horizontal="center" vertical="center"/>
    </xf>
    <xf numFmtId="0" fontId="0" fillId="0" borderId="0" xfId="0" applyAlignment="1"/>
    <xf numFmtId="2" fontId="0" fillId="0" borderId="0" xfId="0" applyNumberFormat="1"/>
    <xf numFmtId="10" fontId="0" fillId="4" borderId="14" xfId="0" applyNumberFormat="1" applyFill="1" applyBorder="1" applyAlignment="1">
      <alignment horizontal="center"/>
    </xf>
    <xf numFmtId="10" fontId="0" fillId="4" borderId="3" xfId="0" applyNumberFormat="1" applyFill="1" applyBorder="1" applyAlignment="1">
      <alignment horizontal="center"/>
    </xf>
    <xf numFmtId="10" fontId="0" fillId="4" borderId="16" xfId="0" applyNumberFormat="1" applyFill="1" applyBorder="1" applyAlignment="1">
      <alignment horizontal="center"/>
    </xf>
    <xf numFmtId="10" fontId="0" fillId="3" borderId="15" xfId="0" applyNumberFormat="1" applyFill="1" applyBorder="1" applyAlignment="1">
      <alignment horizontal="center"/>
    </xf>
    <xf numFmtId="10" fontId="0" fillId="3" borderId="16" xfId="0" applyNumberFormat="1" applyFill="1" applyBorder="1" applyAlignment="1">
      <alignment horizontal="center"/>
    </xf>
    <xf numFmtId="10" fontId="0" fillId="4" borderId="15" xfId="0" applyNumberFormat="1" applyFill="1" applyBorder="1" applyAlignment="1">
      <alignment horizontal="center"/>
    </xf>
    <xf numFmtId="10" fontId="0" fillId="0" borderId="0" xfId="0" applyNumberFormat="1" applyFill="1" applyBorder="1" applyAlignment="1">
      <alignment horizontal="center"/>
    </xf>
    <xf numFmtId="10" fontId="0" fillId="0" borderId="3" xfId="0" applyNumberFormat="1" applyBorder="1" applyAlignment="1">
      <alignment horizontal="center"/>
    </xf>
    <xf numFmtId="10" fontId="0" fillId="2" borderId="5" xfId="0" applyNumberFormat="1" applyFill="1" applyBorder="1" applyAlignment="1">
      <alignment horizontal="center"/>
    </xf>
    <xf numFmtId="10" fontId="0" fillId="2" borderId="16" xfId="0" applyNumberFormat="1" applyFill="1" applyBorder="1" applyAlignment="1">
      <alignment horizontal="center"/>
    </xf>
    <xf numFmtId="10" fontId="0" fillId="0" borderId="14" xfId="0" applyNumberFormat="1" applyFill="1" applyBorder="1" applyAlignment="1">
      <alignment horizontal="center"/>
    </xf>
    <xf numFmtId="10" fontId="0" fillId="0" borderId="15" xfId="0" applyNumberFormat="1" applyFill="1" applyBorder="1" applyAlignment="1">
      <alignment horizontal="center"/>
    </xf>
    <xf numFmtId="10" fontId="0" fillId="0" borderId="16" xfId="0" applyNumberFormat="1" applyFill="1" applyBorder="1" applyAlignment="1">
      <alignment horizontal="center"/>
    </xf>
    <xf numFmtId="10" fontId="0" fillId="0" borderId="5" xfId="0" applyNumberFormat="1" applyBorder="1" applyAlignment="1">
      <alignment horizontal="center" vertical="center"/>
    </xf>
    <xf numFmtId="10" fontId="0" fillId="0" borderId="5" xfId="0" applyNumberFormat="1" applyBorder="1" applyAlignment="1">
      <alignment horizontal="center"/>
    </xf>
    <xf numFmtId="1" fontId="0" fillId="3" borderId="3" xfId="0" applyNumberFormat="1" applyFill="1" applyBorder="1"/>
    <xf numFmtId="10" fontId="1" fillId="2" borderId="1" xfId="1" applyNumberFormat="1" applyFont="1" applyFill="1" applyBorder="1" applyAlignment="1">
      <alignment horizontal="center"/>
    </xf>
    <xf numFmtId="10" fontId="1" fillId="2" borderId="4" xfId="1" applyNumberFormat="1" applyFont="1" applyFill="1" applyBorder="1" applyAlignment="1">
      <alignment horizontal="center"/>
    </xf>
    <xf numFmtId="10" fontId="1" fillId="0" borderId="4" xfId="1" applyNumberFormat="1" applyFont="1" applyFill="1" applyBorder="1" applyAlignment="1">
      <alignment horizontal="center"/>
    </xf>
    <xf numFmtId="167" fontId="1" fillId="0" borderId="0" xfId="1" applyNumberFormat="1" applyFont="1" applyFill="1" applyBorder="1" applyAlignment="1">
      <alignment horizontal="center"/>
    </xf>
    <xf numFmtId="10" fontId="1" fillId="0" borderId="0" xfId="1" applyNumberFormat="1" applyFont="1" applyFill="1" applyBorder="1" applyAlignment="1">
      <alignment horizontal="center"/>
    </xf>
    <xf numFmtId="10" fontId="10" fillId="2" borderId="27" xfId="0" applyNumberFormat="1" applyFont="1" applyFill="1" applyBorder="1" applyAlignment="1">
      <alignment horizontal="center"/>
    </xf>
    <xf numFmtId="10" fontId="0" fillId="2" borderId="6" xfId="0" applyNumberFormat="1" applyFill="1" applyBorder="1" applyAlignment="1">
      <alignment horizontal="center"/>
    </xf>
    <xf numFmtId="1" fontId="0" fillId="3" borderId="0" xfId="0" applyNumberFormat="1" applyFill="1"/>
    <xf numFmtId="10" fontId="1" fillId="4" borderId="6" xfId="1" applyNumberFormat="1" applyFont="1" applyFill="1" applyBorder="1" applyAlignment="1">
      <alignment horizontal="center"/>
    </xf>
    <xf numFmtId="10" fontId="1" fillId="4" borderId="17" xfId="1" applyNumberFormat="1" applyFont="1" applyFill="1" applyBorder="1" applyAlignment="1">
      <alignment horizontal="center"/>
    </xf>
    <xf numFmtId="10" fontId="1" fillId="3" borderId="17" xfId="1" applyNumberFormat="1" applyFont="1" applyFill="1" applyBorder="1" applyAlignment="1">
      <alignment horizontal="center"/>
    </xf>
    <xf numFmtId="10" fontId="1" fillId="2" borderId="17" xfId="1" applyNumberFormat="1" applyFont="1" applyFill="1" applyBorder="1" applyAlignment="1">
      <alignment horizontal="center"/>
    </xf>
    <xf numFmtId="2" fontId="1" fillId="2" borderId="27" xfId="1" applyNumberFormat="1" applyFont="1" applyFill="1" applyBorder="1" applyAlignment="1">
      <alignment horizontal="center"/>
    </xf>
    <xf numFmtId="10" fontId="10" fillId="2" borderId="6" xfId="0" applyNumberFormat="1" applyFont="1" applyFill="1" applyBorder="1" applyAlignment="1">
      <alignment horizontal="center"/>
    </xf>
    <xf numFmtId="10" fontId="1" fillId="0" borderId="17" xfId="1" applyNumberFormat="1" applyFont="1" applyFill="1" applyBorder="1" applyAlignment="1">
      <alignment horizontal="center"/>
    </xf>
    <xf numFmtId="2" fontId="1" fillId="2" borderId="7" xfId="1" applyNumberFormat="1" applyFont="1" applyFill="1" applyBorder="1" applyAlignment="1">
      <alignment horizontal="center"/>
    </xf>
    <xf numFmtId="10" fontId="0" fillId="2" borderId="1" xfId="0" applyNumberFormat="1" applyFill="1" applyBorder="1" applyAlignment="1">
      <alignment horizontal="center"/>
    </xf>
    <xf numFmtId="1" fontId="0" fillId="3" borderId="2" xfId="0" applyNumberFormat="1" applyFill="1" applyBorder="1"/>
    <xf numFmtId="1" fontId="0" fillId="3" borderId="4" xfId="0" applyNumberFormat="1" applyFill="1" applyBorder="1"/>
    <xf numFmtId="10" fontId="1" fillId="4" borderId="1" xfId="1" applyNumberFormat="1" applyFont="1" applyFill="1" applyBorder="1" applyAlignment="1">
      <alignment horizontal="center"/>
    </xf>
    <xf numFmtId="10" fontId="1" fillId="4" borderId="4" xfId="1" applyNumberFormat="1" applyFont="1" applyFill="1" applyBorder="1" applyAlignment="1">
      <alignment horizontal="center"/>
    </xf>
    <xf numFmtId="10" fontId="1" fillId="3" borderId="1" xfId="1" applyNumberFormat="1" applyFont="1" applyFill="1" applyBorder="1" applyAlignment="1">
      <alignment horizontal="center"/>
    </xf>
    <xf numFmtId="1" fontId="0" fillId="0" borderId="0" xfId="0" applyNumberFormat="1"/>
    <xf numFmtId="10" fontId="0" fillId="2" borderId="17" xfId="0" applyNumberFormat="1" applyFill="1" applyBorder="1" applyAlignment="1">
      <alignment horizontal="center"/>
    </xf>
    <xf numFmtId="2" fontId="1" fillId="2" borderId="6" xfId="1" applyNumberFormat="1" applyFont="1" applyFill="1" applyBorder="1" applyAlignment="1">
      <alignment horizontal="center"/>
    </xf>
    <xf numFmtId="1" fontId="0" fillId="2" borderId="7" xfId="0" applyNumberFormat="1" applyFill="1" applyBorder="1"/>
    <xf numFmtId="1" fontId="0" fillId="2" borderId="0" xfId="0" applyNumberFormat="1" applyFill="1" applyBorder="1"/>
    <xf numFmtId="1" fontId="0" fillId="2" borderId="17" xfId="0" applyNumberFormat="1" applyFill="1" applyBorder="1"/>
    <xf numFmtId="1" fontId="0" fillId="2" borderId="2" xfId="0" applyNumberFormat="1" applyFill="1" applyBorder="1"/>
    <xf numFmtId="1" fontId="0" fillId="2" borderId="3" xfId="0" applyNumberFormat="1" applyFill="1" applyBorder="1"/>
    <xf numFmtId="1" fontId="0" fillId="2" borderId="4" xfId="0" applyNumberFormat="1" applyFill="1" applyBorder="1"/>
    <xf numFmtId="10" fontId="0" fillId="2" borderId="4" xfId="0" applyNumberFormat="1" applyFill="1" applyBorder="1" applyAlignment="1">
      <alignment horizontal="center"/>
    </xf>
    <xf numFmtId="2" fontId="1" fillId="2" borderId="2" xfId="1" applyNumberFormat="1" applyFont="1" applyFill="1" applyBorder="1" applyAlignment="1">
      <alignment horizontal="center"/>
    </xf>
    <xf numFmtId="2" fontId="1" fillId="2" borderId="1" xfId="1" applyNumberFormat="1" applyFont="1" applyFill="1" applyBorder="1" applyAlignment="1">
      <alignment horizontal="center"/>
    </xf>
    <xf numFmtId="10" fontId="0" fillId="12" borderId="27" xfId="0" applyNumberFormat="1" applyFill="1" applyBorder="1" applyAlignment="1">
      <alignment horizontal="center"/>
    </xf>
    <xf numFmtId="10" fontId="0" fillId="12" borderId="9" xfId="0" applyNumberFormat="1" applyFill="1" applyBorder="1" applyAlignment="1">
      <alignment horizontal="center"/>
    </xf>
    <xf numFmtId="10" fontId="0" fillId="0" borderId="9" xfId="0" applyNumberFormat="1" applyFill="1" applyBorder="1" applyAlignment="1">
      <alignment horizontal="center"/>
    </xf>
    <xf numFmtId="10" fontId="0" fillId="2" borderId="9" xfId="0" applyNumberFormat="1" applyFill="1" applyBorder="1" applyAlignment="1">
      <alignment horizontal="center"/>
    </xf>
    <xf numFmtId="10" fontId="0" fillId="0" borderId="0" xfId="0" applyNumberFormat="1" applyFill="1" applyBorder="1"/>
    <xf numFmtId="10" fontId="0" fillId="0" borderId="0" xfId="0" applyNumberFormat="1" applyAlignment="1">
      <alignment horizontal="center"/>
    </xf>
    <xf numFmtId="164" fontId="1" fillId="0" borderId="0" xfId="1" applyNumberFormat="1" applyFont="1" applyFill="1" applyBorder="1" applyAlignment="1">
      <alignment horizontal="center"/>
    </xf>
    <xf numFmtId="10" fontId="10" fillId="2" borderId="1" xfId="0" applyNumberFormat="1" applyFont="1" applyFill="1" applyBorder="1" applyAlignment="1">
      <alignment horizontal="center"/>
    </xf>
    <xf numFmtId="10" fontId="0" fillId="0" borderId="0" xfId="0" applyNumberFormat="1" applyFill="1" applyAlignment="1">
      <alignment horizontal="center" vertical="center"/>
    </xf>
    <xf numFmtId="10" fontId="11" fillId="2" borderId="5" xfId="0" applyNumberFormat="1" applyFont="1" applyFill="1" applyBorder="1" applyAlignment="1">
      <alignment horizontal="center"/>
    </xf>
    <xf numFmtId="10" fontId="1" fillId="5" borderId="5" xfId="1" applyNumberFormat="1" applyFont="1" applyFill="1" applyBorder="1" applyAlignment="1">
      <alignment horizontal="center"/>
    </xf>
    <xf numFmtId="10" fontId="1" fillId="5" borderId="16" xfId="1" applyNumberFormat="1" applyFont="1" applyFill="1" applyBorder="1" applyAlignment="1">
      <alignment horizontal="center"/>
    </xf>
    <xf numFmtId="2" fontId="1" fillId="0" borderId="0" xfId="1" applyNumberFormat="1" applyFont="1" applyFill="1" applyBorder="1" applyAlignment="1">
      <alignment horizontal="center"/>
    </xf>
    <xf numFmtId="10" fontId="11" fillId="2" borderId="1" xfId="0" applyNumberFormat="1" applyFont="1" applyFill="1" applyBorder="1" applyAlignment="1">
      <alignment horizontal="center"/>
    </xf>
    <xf numFmtId="164" fontId="0" fillId="11" borderId="27" xfId="1" applyNumberFormat="1" applyFont="1" applyFill="1" applyBorder="1" applyAlignment="1">
      <alignment horizontal="center"/>
    </xf>
    <xf numFmtId="164" fontId="0" fillId="11" borderId="28" xfId="1" applyNumberFormat="1" applyFont="1" applyFill="1" applyBorder="1" applyAlignment="1">
      <alignment horizontal="center"/>
    </xf>
    <xf numFmtId="0" fontId="0" fillId="2" borderId="0" xfId="0" applyFill="1" applyAlignment="1">
      <alignment vertical="center"/>
    </xf>
    <xf numFmtId="10" fontId="0" fillId="6" borderId="5" xfId="1" applyNumberFormat="1" applyFont="1" applyFill="1" applyBorder="1" applyAlignment="1" applyProtection="1">
      <alignment horizontal="center" vertical="center"/>
      <protection locked="0"/>
    </xf>
    <xf numFmtId="164" fontId="0" fillId="6" borderId="5" xfId="1" applyNumberFormat="1" applyFont="1"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3" fillId="7" borderId="5" xfId="0" applyFont="1" applyFill="1" applyBorder="1" applyAlignment="1" applyProtection="1">
      <alignment vertical="center"/>
      <protection locked="0"/>
    </xf>
    <xf numFmtId="0" fontId="0" fillId="2" borderId="3" xfId="0" applyFill="1" applyBorder="1" applyAlignment="1">
      <alignment vertical="center"/>
    </xf>
    <xf numFmtId="164" fontId="0" fillId="6" borderId="19" xfId="0" applyNumberFormat="1" applyFill="1" applyBorder="1" applyAlignment="1" applyProtection="1">
      <alignment horizontal="center" vertical="center"/>
      <protection locked="0"/>
    </xf>
    <xf numFmtId="164" fontId="0" fillId="6" borderId="20" xfId="0" applyNumberFormat="1" applyFill="1" applyBorder="1" applyAlignment="1" applyProtection="1">
      <alignment horizontal="center" vertical="center"/>
      <protection locked="0"/>
    </xf>
    <xf numFmtId="164" fontId="0" fillId="6" borderId="21" xfId="0" applyNumberFormat="1" applyFill="1" applyBorder="1" applyAlignment="1" applyProtection="1">
      <alignment horizontal="center" vertical="center"/>
      <protection locked="0"/>
    </xf>
    <xf numFmtId="164" fontId="0" fillId="2" borderId="27" xfId="1" applyNumberFormat="1" applyFont="1" applyFill="1" applyBorder="1" applyAlignment="1">
      <alignment horizontal="center" vertical="center"/>
    </xf>
    <xf numFmtId="164" fontId="0" fillId="6" borderId="22" xfId="1" applyNumberFormat="1" applyFont="1" applyFill="1" applyBorder="1" applyAlignment="1" applyProtection="1">
      <alignment horizontal="center" vertical="center"/>
      <protection locked="0"/>
    </xf>
    <xf numFmtId="164" fontId="0" fillId="6" borderId="18" xfId="1" applyNumberFormat="1" applyFont="1" applyFill="1" applyBorder="1" applyAlignment="1" applyProtection="1">
      <alignment horizontal="center" vertical="center"/>
      <protection locked="0"/>
    </xf>
    <xf numFmtId="164" fontId="0" fillId="6" borderId="23" xfId="1" applyNumberFormat="1" applyFont="1" applyFill="1" applyBorder="1" applyAlignment="1" applyProtection="1">
      <alignment horizontal="center" vertical="center"/>
      <protection locked="0"/>
    </xf>
    <xf numFmtId="164" fontId="0" fillId="2" borderId="6" xfId="1" applyNumberFormat="1" applyFont="1" applyFill="1" applyBorder="1" applyAlignment="1">
      <alignment horizontal="center" vertical="center"/>
    </xf>
    <xf numFmtId="164" fontId="0" fillId="2" borderId="24" xfId="1" applyNumberFormat="1" applyFont="1" applyFill="1" applyBorder="1" applyAlignment="1" applyProtection="1">
      <alignment horizontal="center" vertical="center"/>
      <protection locked="0"/>
    </xf>
    <xf numFmtId="164" fontId="0" fillId="2" borderId="25" xfId="1" applyNumberFormat="1" applyFont="1" applyFill="1" applyBorder="1" applyAlignment="1" applyProtection="1">
      <alignment horizontal="center" vertical="center"/>
      <protection locked="0"/>
    </xf>
    <xf numFmtId="164" fontId="0" fillId="2" borderId="26" xfId="1" applyNumberFormat="1" applyFont="1" applyFill="1" applyBorder="1" applyAlignment="1" applyProtection="1">
      <alignment horizontal="center" vertical="center"/>
      <protection locked="0"/>
    </xf>
    <xf numFmtId="164" fontId="0" fillId="2" borderId="1" xfId="1" applyNumberFormat="1" applyFont="1" applyFill="1" applyBorder="1" applyAlignment="1">
      <alignment horizontal="center" vertical="center"/>
    </xf>
    <xf numFmtId="0" fontId="3" fillId="7" borderId="5" xfId="0" applyFont="1" applyFill="1" applyBorder="1" applyAlignment="1" applyProtection="1">
      <alignment horizontal="center" vertical="center"/>
      <protection locked="0"/>
    </xf>
    <xf numFmtId="0" fontId="2" fillId="2" borderId="0" xfId="0" applyFont="1" applyFill="1" applyAlignment="1">
      <alignment vertical="center"/>
    </xf>
    <xf numFmtId="165" fontId="0" fillId="0" borderId="0" xfId="0" applyNumberFormat="1"/>
    <xf numFmtId="164" fontId="0" fillId="0" borderId="15" xfId="1" applyNumberFormat="1" applyFont="1" applyBorder="1"/>
    <xf numFmtId="164" fontId="0" fillId="3" borderId="0" xfId="1" applyNumberFormat="1" applyFont="1" applyFill="1" applyBorder="1"/>
    <xf numFmtId="164" fontId="0" fillId="0" borderId="3" xfId="1" applyNumberFormat="1" applyFont="1" applyBorder="1"/>
    <xf numFmtId="164" fontId="0" fillId="3" borderId="3" xfId="1" applyNumberFormat="1" applyFont="1" applyFill="1" applyBorder="1"/>
    <xf numFmtId="164" fontId="0" fillId="0" borderId="16" xfId="1" applyNumberFormat="1" applyFont="1" applyBorder="1"/>
    <xf numFmtId="164" fontId="0" fillId="3" borderId="17" xfId="1" applyNumberFormat="1" applyFont="1" applyFill="1" applyBorder="1"/>
    <xf numFmtId="164" fontId="0" fillId="3" borderId="4" xfId="1" applyNumberFormat="1" applyFont="1" applyFill="1" applyBorder="1"/>
    <xf numFmtId="164" fontId="0" fillId="0" borderId="17" xfId="1" applyNumberFormat="1" applyFont="1" applyBorder="1"/>
    <xf numFmtId="164" fontId="0" fillId="0" borderId="4" xfId="1" applyNumberFormat="1" applyFont="1" applyBorder="1"/>
    <xf numFmtId="164" fontId="0" fillId="0" borderId="17" xfId="1" applyNumberFormat="1" applyFont="1" applyFill="1" applyBorder="1"/>
    <xf numFmtId="164" fontId="0" fillId="0" borderId="4" xfId="1" applyNumberFormat="1" applyFont="1" applyFill="1" applyBorder="1"/>
    <xf numFmtId="164" fontId="0" fillId="0" borderId="14" xfId="1" applyNumberFormat="1" applyFont="1" applyBorder="1"/>
    <xf numFmtId="164" fontId="0" fillId="0" borderId="9" xfId="1" applyNumberFormat="1" applyFont="1" applyBorder="1"/>
    <xf numFmtId="10" fontId="0" fillId="6" borderId="3" xfId="0" applyNumberFormat="1" applyFill="1" applyBorder="1"/>
    <xf numFmtId="10" fontId="0" fillId="6" borderId="0" xfId="1" applyNumberFormat="1" applyFont="1" applyFill="1"/>
    <xf numFmtId="164" fontId="0" fillId="0" borderId="8" xfId="1" applyNumberFormat="1" applyFont="1" applyBorder="1"/>
    <xf numFmtId="164" fontId="0" fillId="3" borderId="8" xfId="1" applyNumberFormat="1" applyFont="1" applyFill="1" applyBorder="1"/>
    <xf numFmtId="164" fontId="0" fillId="4" borderId="0" xfId="1" applyNumberFormat="1" applyFont="1" applyFill="1" applyBorder="1"/>
    <xf numFmtId="164" fontId="0" fillId="4" borderId="8" xfId="1" applyNumberFormat="1" applyFont="1" applyFill="1" applyBorder="1"/>
    <xf numFmtId="164" fontId="0" fillId="4" borderId="17" xfId="1" applyNumberFormat="1" applyFont="1" applyFill="1" applyBorder="1"/>
    <xf numFmtId="164" fontId="0" fillId="4" borderId="3" xfId="1" applyNumberFormat="1" applyFont="1" applyFill="1" applyBorder="1"/>
    <xf numFmtId="164" fontId="0" fillId="4" borderId="4" xfId="1" applyNumberFormat="1" applyFont="1" applyFill="1" applyBorder="1"/>
    <xf numFmtId="0" fontId="0" fillId="2" borderId="0" xfId="0" applyFill="1"/>
    <xf numFmtId="0" fontId="2" fillId="2" borderId="0" xfId="0" applyFont="1" applyFill="1"/>
    <xf numFmtId="0" fontId="0" fillId="2" borderId="3" xfId="0" applyFill="1" applyBorder="1" applyAlignment="1">
      <alignment horizontal="center"/>
    </xf>
    <xf numFmtId="0" fontId="0" fillId="2" borderId="3" xfId="0" applyFill="1" applyBorder="1"/>
    <xf numFmtId="0" fontId="0" fillId="2" borderId="0" xfId="0" quotePrefix="1" applyFill="1" applyAlignment="1">
      <alignment vertical="center"/>
    </xf>
    <xf numFmtId="0" fontId="0" fillId="2" borderId="30" xfId="0" applyFill="1" applyBorder="1" applyAlignment="1">
      <alignment horizontal="left" vertical="center"/>
    </xf>
    <xf numFmtId="0" fontId="0" fillId="2" borderId="15" xfId="0" applyFill="1" applyBorder="1" applyAlignment="1">
      <alignment horizontal="left" vertical="center"/>
    </xf>
    <xf numFmtId="0" fontId="0" fillId="0" borderId="5" xfId="0" applyBorder="1"/>
    <xf numFmtId="10" fontId="0" fillId="0" borderId="14" xfId="1" applyNumberFormat="1" applyFont="1" applyBorder="1"/>
    <xf numFmtId="10" fontId="0" fillId="0" borderId="15" xfId="1" applyNumberFormat="1" applyFont="1" applyBorder="1"/>
    <xf numFmtId="10" fontId="0" fillId="0" borderId="16" xfId="1" applyNumberFormat="1" applyFont="1" applyBorder="1"/>
    <xf numFmtId="164" fontId="0" fillId="6" borderId="19" xfId="1" applyNumberFormat="1" applyFont="1" applyFill="1" applyBorder="1" applyAlignment="1" applyProtection="1">
      <alignment horizontal="center" vertical="center"/>
      <protection locked="0"/>
    </xf>
    <xf numFmtId="164" fontId="0" fillId="6" borderId="20" xfId="1" applyNumberFormat="1" applyFont="1" applyFill="1" applyBorder="1" applyAlignment="1" applyProtection="1">
      <alignment horizontal="center" vertical="center"/>
      <protection locked="0"/>
    </xf>
    <xf numFmtId="164" fontId="0" fillId="6" borderId="21" xfId="1" applyNumberFormat="1" applyFont="1" applyFill="1" applyBorder="1" applyAlignment="1" applyProtection="1">
      <alignment horizontal="center" vertical="center"/>
      <protection locked="0"/>
    </xf>
    <xf numFmtId="10" fontId="0" fillId="3" borderId="0" xfId="1" applyNumberFormat="1" applyFont="1" applyFill="1"/>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center"/>
    </xf>
    <xf numFmtId="0" fontId="0" fillId="2" borderId="31" xfId="0" applyFill="1" applyBorder="1"/>
    <xf numFmtId="0" fontId="0" fillId="2" borderId="35" xfId="0" applyFill="1" applyBorder="1" applyAlignment="1">
      <alignment horizontal="center"/>
    </xf>
    <xf numFmtId="0" fontId="0" fillId="2" borderId="32" xfId="0" applyFill="1" applyBorder="1"/>
    <xf numFmtId="0" fontId="0" fillId="2" borderId="36" xfId="0" applyFill="1" applyBorder="1" applyAlignment="1">
      <alignment horizontal="center"/>
    </xf>
    <xf numFmtId="0" fontId="0" fillId="2" borderId="33" xfId="0" applyFill="1" applyBorder="1"/>
    <xf numFmtId="0" fontId="0" fillId="2" borderId="37" xfId="0" applyFill="1" applyBorder="1" applyAlignment="1">
      <alignment horizontal="center"/>
    </xf>
    <xf numFmtId="0" fontId="0" fillId="2" borderId="38" xfId="0" applyFill="1" applyBorder="1"/>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13" xfId="0" applyFill="1" applyBorder="1" applyAlignment="1">
      <alignment horizontal="center" vertical="center"/>
    </xf>
    <xf numFmtId="0" fontId="0" fillId="2" borderId="47" xfId="0" applyFill="1" applyBorder="1" applyAlignment="1">
      <alignment horizontal="left" vertical="center"/>
    </xf>
    <xf numFmtId="0" fontId="0" fillId="2" borderId="11" xfId="0" applyFill="1" applyBorder="1" applyAlignment="1">
      <alignment horizontal="left"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1" xfId="0" applyFill="1" applyBorder="1" applyAlignment="1">
      <alignment horizontal="center" vertical="center"/>
    </xf>
    <xf numFmtId="0" fontId="0" fillId="2" borderId="31" xfId="0" applyFill="1" applyBorder="1" applyAlignment="1">
      <alignment horizontal="center"/>
    </xf>
    <xf numFmtId="0" fontId="0" fillId="2" borderId="31" xfId="0" applyFill="1" applyBorder="1" applyAlignment="1">
      <alignment vertical="center"/>
    </xf>
    <xf numFmtId="0" fontId="0" fillId="2" borderId="32" xfId="0" applyFill="1" applyBorder="1" applyAlignment="1">
      <alignment horizontal="center"/>
    </xf>
    <xf numFmtId="0" fontId="0" fillId="2" borderId="32" xfId="0" applyFill="1" applyBorder="1" applyAlignment="1">
      <alignment vertical="center"/>
    </xf>
    <xf numFmtId="0" fontId="0" fillId="2" borderId="33" xfId="0" applyFill="1" applyBorder="1" applyAlignment="1">
      <alignment horizontal="center"/>
    </xf>
    <xf numFmtId="0" fontId="0" fillId="2" borderId="33" xfId="0" applyFill="1" applyBorder="1" applyAlignment="1">
      <alignment vertical="center"/>
    </xf>
    <xf numFmtId="10" fontId="9" fillId="0" borderId="28" xfId="1" applyNumberFormat="1" applyFont="1" applyBorder="1"/>
    <xf numFmtId="10" fontId="9" fillId="0" borderId="8" xfId="1" applyNumberFormat="1" applyFont="1" applyBorder="1"/>
    <xf numFmtId="10" fontId="9" fillId="0" borderId="17" xfId="1" applyNumberFormat="1" applyFont="1" applyBorder="1"/>
    <xf numFmtId="10" fontId="9" fillId="0" borderId="7" xfId="1" applyNumberFormat="1" applyFont="1" applyBorder="1"/>
    <xf numFmtId="10" fontId="9" fillId="0" borderId="0" xfId="1" applyNumberFormat="1" applyFont="1" applyBorder="1"/>
    <xf numFmtId="10" fontId="9" fillId="0" borderId="2" xfId="1" applyNumberFormat="1" applyFont="1" applyBorder="1"/>
    <xf numFmtId="10" fontId="9" fillId="0" borderId="3" xfId="1" applyNumberFormat="1" applyFont="1" applyBorder="1"/>
    <xf numFmtId="10" fontId="9" fillId="0" borderId="4" xfId="1" applyNumberFormat="1" applyFont="1" applyBorder="1"/>
    <xf numFmtId="0" fontId="0" fillId="2" borderId="48"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7" borderId="18" xfId="0" applyFill="1" applyBorder="1" applyAlignment="1" applyProtection="1">
      <alignment horizontal="center" vertical="center"/>
    </xf>
    <xf numFmtId="0" fontId="0" fillId="2" borderId="0" xfId="0" applyFill="1" applyAlignment="1" applyProtection="1">
      <alignment vertical="center"/>
    </xf>
    <xf numFmtId="0" fontId="0" fillId="2" borderId="0" xfId="0" applyFill="1" applyProtection="1"/>
    <xf numFmtId="0" fontId="0" fillId="6" borderId="18"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4" xfId="0" applyFill="1" applyBorder="1" applyAlignment="1" applyProtection="1">
      <alignment horizontal="center" vertical="center"/>
    </xf>
    <xf numFmtId="166" fontId="0" fillId="5" borderId="10" xfId="0" applyNumberFormat="1" applyFill="1" applyBorder="1" applyAlignment="1" applyProtection="1">
      <alignment horizontal="center" vertical="center"/>
    </xf>
    <xf numFmtId="166" fontId="0" fillId="5" borderId="11" xfId="0" applyNumberFormat="1" applyFill="1" applyBorder="1" applyAlignment="1" applyProtection="1">
      <alignment horizontal="center" vertical="center"/>
    </xf>
    <xf numFmtId="166" fontId="0" fillId="5" borderId="12" xfId="0" applyNumberFormat="1" applyFill="1" applyBorder="1" applyAlignment="1" applyProtection="1">
      <alignment horizontal="center" vertical="center"/>
    </xf>
    <xf numFmtId="166" fontId="0" fillId="5" borderId="13" xfId="0" applyNumberFormat="1" applyFill="1" applyBorder="1" applyAlignment="1" applyProtection="1">
      <alignment horizontal="center" vertical="center"/>
    </xf>
    <xf numFmtId="9" fontId="0" fillId="5" borderId="10" xfId="0" applyNumberFormat="1" applyFill="1" applyBorder="1" applyAlignment="1" applyProtection="1">
      <alignment horizontal="center" vertical="center"/>
    </xf>
    <xf numFmtId="9" fontId="0" fillId="5" borderId="11" xfId="0" applyNumberFormat="1" applyFill="1" applyBorder="1" applyAlignment="1" applyProtection="1">
      <alignment horizontal="center" vertical="center"/>
    </xf>
    <xf numFmtId="9" fontId="0" fillId="5" borderId="12" xfId="0" applyNumberFormat="1" applyFill="1" applyBorder="1" applyAlignment="1" applyProtection="1">
      <alignment horizontal="center" vertical="center"/>
    </xf>
    <xf numFmtId="9" fontId="0" fillId="5" borderId="13" xfId="0" applyNumberFormat="1" applyFill="1" applyBorder="1" applyAlignment="1" applyProtection="1">
      <alignment horizontal="center" vertical="center"/>
    </xf>
    <xf numFmtId="0" fontId="12" fillId="2" borderId="0" xfId="0" applyFont="1" applyFill="1" applyAlignment="1" applyProtection="1">
      <alignment vertical="center"/>
    </xf>
    <xf numFmtId="0" fontId="0" fillId="2" borderId="0" xfId="0" applyFill="1" applyAlignment="1" applyProtection="1">
      <alignment horizontal="center" vertical="center"/>
    </xf>
    <xf numFmtId="164" fontId="0" fillId="2" borderId="27" xfId="1" applyNumberFormat="1" applyFont="1" applyFill="1" applyBorder="1" applyAlignment="1" applyProtection="1">
      <alignment horizontal="center" vertical="center"/>
    </xf>
    <xf numFmtId="164" fontId="0" fillId="2" borderId="6" xfId="1" applyNumberFormat="1" applyFont="1" applyFill="1" applyBorder="1" applyAlignment="1" applyProtection="1">
      <alignment horizontal="center" vertical="center"/>
    </xf>
    <xf numFmtId="164" fontId="0" fillId="2" borderId="1" xfId="1" applyNumberFormat="1" applyFont="1" applyFill="1" applyBorder="1" applyAlignment="1" applyProtection="1">
      <alignment horizontal="center" vertical="center"/>
    </xf>
    <xf numFmtId="0" fontId="0" fillId="0" borderId="0" xfId="0" applyAlignment="1" applyProtection="1">
      <alignment horizontal="center" vertical="center"/>
    </xf>
    <xf numFmtId="164" fontId="16" fillId="2" borderId="0" xfId="0" applyNumberFormat="1" applyFont="1" applyFill="1" applyAlignment="1" applyProtection="1">
      <alignment horizontal="center" vertical="center"/>
    </xf>
    <xf numFmtId="9" fontId="0" fillId="2" borderId="0" xfId="0" applyNumberFormat="1" applyFill="1" applyProtection="1"/>
    <xf numFmtId="164" fontId="0" fillId="5" borderId="24" xfId="1" applyNumberFormat="1" applyFont="1" applyFill="1" applyBorder="1" applyAlignment="1" applyProtection="1">
      <alignment horizontal="center" vertical="center"/>
    </xf>
    <xf numFmtId="164" fontId="0" fillId="5" borderId="25" xfId="1" applyNumberFormat="1" applyFont="1" applyFill="1" applyBorder="1" applyAlignment="1" applyProtection="1">
      <alignment horizontal="center" vertical="center"/>
    </xf>
    <xf numFmtId="164" fontId="0" fillId="5" borderId="26" xfId="1"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2" fillId="0" borderId="0" xfId="0" applyFont="1" applyAlignment="1" applyProtection="1">
      <alignment vertical="center"/>
    </xf>
    <xf numFmtId="0" fontId="0" fillId="3" borderId="0" xfId="0" applyFill="1" applyAlignment="1" applyProtection="1">
      <alignment horizontal="center" vertical="center"/>
    </xf>
    <xf numFmtId="0" fontId="0" fillId="4" borderId="0" xfId="0" applyFill="1" applyAlignment="1" applyProtection="1">
      <alignment horizontal="center" vertical="center"/>
    </xf>
    <xf numFmtId="164" fontId="0" fillId="5" borderId="18" xfId="1" applyNumberFormat="1"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0" xfId="0" applyFont="1" applyFill="1" applyAlignment="1" applyProtection="1">
      <alignment vertical="center"/>
    </xf>
    <xf numFmtId="0" fontId="0" fillId="0" borderId="0" xfId="0" applyAlignment="1" applyProtection="1">
      <alignment vertical="center"/>
    </xf>
    <xf numFmtId="0" fontId="0" fillId="2" borderId="3" xfId="0" applyFill="1" applyBorder="1" applyAlignment="1" applyProtection="1">
      <alignment vertical="center"/>
    </xf>
    <xf numFmtId="0" fontId="0" fillId="2" borderId="5" xfId="0" applyFill="1" applyBorder="1" applyAlignment="1" applyProtection="1">
      <alignment vertical="center"/>
    </xf>
    <xf numFmtId="10" fontId="0" fillId="5" borderId="10" xfId="0" applyNumberFormat="1" applyFill="1" applyBorder="1" applyAlignment="1" applyProtection="1">
      <alignment horizontal="center" vertical="center"/>
    </xf>
    <xf numFmtId="10" fontId="0" fillId="5" borderId="11" xfId="0" applyNumberFormat="1" applyFill="1" applyBorder="1" applyAlignment="1" applyProtection="1">
      <alignment horizontal="center" vertical="center"/>
    </xf>
    <xf numFmtId="10" fontId="0" fillId="5" borderId="12" xfId="0" applyNumberFormat="1" applyFill="1" applyBorder="1" applyAlignment="1" applyProtection="1">
      <alignment horizontal="center" vertical="center"/>
    </xf>
    <xf numFmtId="10" fontId="0" fillId="5" borderId="13" xfId="0" applyNumberFormat="1" applyFill="1" applyBorder="1" applyAlignment="1" applyProtection="1">
      <alignment horizontal="center" vertical="center"/>
    </xf>
    <xf numFmtId="2" fontId="0" fillId="5" borderId="11" xfId="0" applyNumberFormat="1" applyFill="1" applyBorder="1" applyAlignment="1" applyProtection="1">
      <alignment horizontal="center" vertical="center"/>
    </xf>
    <xf numFmtId="2" fontId="0" fillId="5" borderId="12" xfId="0" applyNumberFormat="1" applyFill="1" applyBorder="1" applyAlignment="1" applyProtection="1">
      <alignment horizontal="center" vertical="center"/>
    </xf>
    <xf numFmtId="0" fontId="7" fillId="2" borderId="0" xfId="0" applyFont="1" applyFill="1" applyAlignment="1" applyProtection="1">
      <alignment vertical="center"/>
    </xf>
    <xf numFmtId="164" fontId="0" fillId="5" borderId="10" xfId="0" applyNumberFormat="1" applyFill="1" applyBorder="1" applyAlignment="1" applyProtection="1">
      <alignment horizontal="center" vertical="center"/>
    </xf>
    <xf numFmtId="164" fontId="0" fillId="5" borderId="11" xfId="0" applyNumberFormat="1" applyFill="1" applyBorder="1" applyAlignment="1" applyProtection="1">
      <alignment horizontal="center" vertical="center"/>
    </xf>
    <xf numFmtId="164" fontId="0" fillId="5" borderId="12" xfId="0" applyNumberFormat="1" applyFill="1" applyBorder="1" applyAlignment="1" applyProtection="1">
      <alignment horizontal="center" vertical="center"/>
    </xf>
    <xf numFmtId="164" fontId="0" fillId="5" borderId="13" xfId="0" applyNumberFormat="1" applyFill="1" applyBorder="1" applyAlignment="1" applyProtection="1">
      <alignment horizontal="center" vertical="center"/>
    </xf>
    <xf numFmtId="164" fontId="0" fillId="5" borderId="19" xfId="1" applyNumberFormat="1" applyFont="1" applyFill="1" applyBorder="1" applyAlignment="1" applyProtection="1">
      <alignment horizontal="center" vertical="center"/>
    </xf>
    <xf numFmtId="164" fontId="0" fillId="5" borderId="20" xfId="1" applyNumberFormat="1" applyFont="1" applyFill="1" applyBorder="1" applyAlignment="1" applyProtection="1">
      <alignment horizontal="center" vertical="center"/>
    </xf>
    <xf numFmtId="164" fontId="0" fillId="5" borderId="21" xfId="1" applyNumberFormat="1" applyFont="1" applyFill="1" applyBorder="1" applyAlignment="1" applyProtection="1">
      <alignment horizontal="center" vertical="center"/>
    </xf>
    <xf numFmtId="164" fontId="0" fillId="5" borderId="22" xfId="1" applyNumberFormat="1" applyFont="1" applyFill="1" applyBorder="1" applyAlignment="1" applyProtection="1">
      <alignment horizontal="center" vertical="center"/>
    </xf>
    <xf numFmtId="164" fontId="0" fillId="5" borderId="23" xfId="1" applyNumberFormat="1" applyFont="1" applyFill="1" applyBorder="1" applyAlignment="1" applyProtection="1">
      <alignment horizontal="center" vertical="center"/>
    </xf>
    <xf numFmtId="164" fontId="0" fillId="6" borderId="1" xfId="0" applyNumberFormat="1" applyFont="1" applyFill="1" applyBorder="1" applyAlignment="1" applyProtection="1">
      <alignment horizontal="center" vertical="center" wrapText="1"/>
      <protection locked="0"/>
    </xf>
    <xf numFmtId="0" fontId="0" fillId="0" borderId="16" xfId="0" applyBorder="1" applyAlignment="1">
      <alignment horizontal="center"/>
    </xf>
    <xf numFmtId="9" fontId="0" fillId="2" borderId="0" xfId="0" applyNumberFormat="1" applyFill="1" applyAlignment="1" applyProtection="1">
      <alignment vertical="center"/>
    </xf>
    <xf numFmtId="0" fontId="0" fillId="2" borderId="51" xfId="0" applyFill="1" applyBorder="1"/>
    <xf numFmtId="0" fontId="0" fillId="2" borderId="52" xfId="0" applyFill="1" applyBorder="1"/>
    <xf numFmtId="0" fontId="9" fillId="2" borderId="52" xfId="0" applyFont="1" applyFill="1" applyBorder="1"/>
    <xf numFmtId="0" fontId="0" fillId="2" borderId="53" xfId="0" applyFill="1" applyBorder="1"/>
    <xf numFmtId="0" fontId="0" fillId="2" borderId="54" xfId="0" applyFill="1" applyBorder="1"/>
    <xf numFmtId="0" fontId="0" fillId="2" borderId="55" xfId="0" applyFill="1" applyBorder="1"/>
    <xf numFmtId="0" fontId="0" fillId="2" borderId="56" xfId="0" applyFill="1" applyBorder="1"/>
    <xf numFmtId="0" fontId="9" fillId="2" borderId="56" xfId="0" applyFont="1" applyFill="1" applyBorder="1"/>
    <xf numFmtId="0" fontId="0" fillId="2" borderId="57" xfId="0" applyFill="1" applyBorder="1"/>
    <xf numFmtId="0" fontId="0" fillId="2" borderId="58" xfId="0" applyFill="1" applyBorder="1"/>
    <xf numFmtId="0" fontId="17" fillId="13" borderId="45" xfId="0" applyFont="1" applyFill="1" applyBorder="1" applyAlignment="1">
      <alignment horizontal="left" vertical="center" wrapText="1"/>
    </xf>
    <xf numFmtId="0" fontId="17" fillId="13" borderId="45" xfId="0" applyFont="1" applyFill="1" applyBorder="1" applyAlignment="1">
      <alignment horizontal="center" vertical="center" wrapText="1"/>
    </xf>
    <xf numFmtId="10" fontId="1" fillId="2" borderId="6" xfId="1" applyNumberFormat="1" applyFont="1" applyFill="1" applyBorder="1" applyAlignment="1">
      <alignment horizontal="center"/>
    </xf>
    <xf numFmtId="0" fontId="3" fillId="13" borderId="45" xfId="0" applyFont="1" applyFill="1" applyBorder="1" applyAlignment="1">
      <alignment horizontal="center" vertical="center" wrapText="1"/>
    </xf>
    <xf numFmtId="0" fontId="3" fillId="13" borderId="46"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3" fillId="13" borderId="39" xfId="0" applyFont="1" applyFill="1" applyBorder="1" applyAlignment="1">
      <alignment horizontal="center" vertical="center"/>
    </xf>
    <xf numFmtId="0" fontId="3" fillId="13" borderId="40" xfId="0" applyFont="1" applyFill="1" applyBorder="1" applyAlignment="1">
      <alignment horizontal="center" vertical="center"/>
    </xf>
    <xf numFmtId="0" fontId="3" fillId="13" borderId="45" xfId="0" applyFont="1" applyFill="1" applyBorder="1" applyAlignment="1">
      <alignment horizontal="left" vertical="center" wrapText="1"/>
    </xf>
    <xf numFmtId="0" fontId="3" fillId="13" borderId="46" xfId="0" applyFont="1" applyFill="1" applyBorder="1" applyAlignment="1">
      <alignment horizontal="left" vertical="center" wrapText="1"/>
    </xf>
    <xf numFmtId="0" fontId="0" fillId="2" borderId="3" xfId="0" applyFill="1" applyBorder="1" applyAlignment="1">
      <alignment horizontal="left" vertical="center"/>
    </xf>
    <xf numFmtId="0" fontId="0" fillId="2" borderId="8" xfId="0" applyFill="1" applyBorder="1" applyAlignment="1">
      <alignment horizontal="left" vertical="center" wrapText="1"/>
    </xf>
    <xf numFmtId="0" fontId="0" fillId="2" borderId="0" xfId="0" applyFill="1" applyBorder="1" applyAlignment="1">
      <alignment horizontal="left" vertical="center" wrapText="1"/>
    </xf>
    <xf numFmtId="0" fontId="0" fillId="2" borderId="3" xfId="0" applyFill="1" applyBorder="1" applyAlignment="1">
      <alignment horizontal="left" vertical="center" wrapText="1"/>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3" fillId="7" borderId="14" xfId="0" applyFont="1" applyFill="1" applyBorder="1" applyAlignment="1" applyProtection="1">
      <alignment horizontal="left" vertical="center"/>
      <protection locked="0"/>
    </xf>
    <xf numFmtId="0" fontId="3" fillId="7" borderId="16" xfId="0" applyFont="1" applyFill="1" applyBorder="1" applyAlignment="1" applyProtection="1">
      <alignment horizontal="left" vertical="center"/>
      <protection locked="0"/>
    </xf>
    <xf numFmtId="0" fontId="0" fillId="2" borderId="3" xfId="0"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0" fillId="3" borderId="14"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4" borderId="14"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16" xfId="0" applyFill="1" applyBorder="1" applyAlignment="1" applyProtection="1">
      <alignment horizontal="center" vertical="center"/>
    </xf>
    <xf numFmtId="0" fontId="0" fillId="0" borderId="27"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0" fillId="2" borderId="0" xfId="0" applyFill="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6" xfId="0" applyFill="1" applyBorder="1" applyAlignment="1">
      <alignment horizontal="left" wrapText="1"/>
    </xf>
    <xf numFmtId="0" fontId="0" fillId="0" borderId="7"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Border="1" applyAlignment="1">
      <alignment horizontal="center" vertical="center"/>
    </xf>
    <xf numFmtId="0" fontId="0" fillId="0" borderId="3" xfId="0"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xf>
    <xf numFmtId="0" fontId="0" fillId="10" borderId="14" xfId="0" applyFill="1" applyBorder="1" applyAlignment="1">
      <alignment horizontal="center"/>
    </xf>
    <xf numFmtId="0" fontId="0" fillId="10" borderId="15" xfId="0" applyFill="1" applyBorder="1" applyAlignment="1">
      <alignment horizontal="center"/>
    </xf>
    <xf numFmtId="0" fontId="0" fillId="10" borderId="16" xfId="0" applyFill="1" applyBorder="1" applyAlignment="1">
      <alignment horizontal="center"/>
    </xf>
    <xf numFmtId="0" fontId="0" fillId="0" borderId="27" xfId="0" applyFill="1" applyBorder="1" applyAlignment="1">
      <alignment horizontal="center" vertical="center"/>
    </xf>
    <xf numFmtId="0" fontId="0" fillId="0" borderId="1" xfId="0" applyFill="1" applyBorder="1" applyAlignment="1">
      <alignment horizontal="center" vertical="center"/>
    </xf>
    <xf numFmtId="0" fontId="0" fillId="6" borderId="14" xfId="0" applyFill="1" applyBorder="1" applyAlignment="1">
      <alignment horizontal="center"/>
    </xf>
    <xf numFmtId="0" fontId="0" fillId="6" borderId="16" xfId="0" applyFill="1" applyBorder="1" applyAlignment="1">
      <alignment horizontal="center"/>
    </xf>
    <xf numFmtId="0" fontId="0" fillId="0" borderId="27"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9" xfId="0" applyBorder="1" applyAlignment="1">
      <alignment horizontal="center" vertical="center" wrapText="1"/>
    </xf>
    <xf numFmtId="0" fontId="0" fillId="9" borderId="14" xfId="0" applyFill="1" applyBorder="1" applyAlignment="1">
      <alignment horizontal="center"/>
    </xf>
    <xf numFmtId="0" fontId="0" fillId="9" borderId="15" xfId="0" applyFill="1" applyBorder="1" applyAlignment="1">
      <alignment horizontal="center"/>
    </xf>
    <xf numFmtId="0" fontId="0" fillId="9" borderId="16" xfId="0" applyFill="1" applyBorder="1" applyAlignment="1">
      <alignment horizontal="center"/>
    </xf>
    <xf numFmtId="2" fontId="0" fillId="0" borderId="14"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0" fontId="0" fillId="0" borderId="27" xfId="0" applyNumberFormat="1" applyBorder="1" applyAlignment="1">
      <alignment horizontal="center" vertical="center"/>
    </xf>
    <xf numFmtId="0" fontId="0" fillId="0" borderId="6" xfId="0" applyBorder="1" applyAlignment="1">
      <alignment horizontal="center" vertical="center"/>
    </xf>
    <xf numFmtId="10" fontId="0" fillId="0" borderId="27" xfId="0" applyNumberFormat="1" applyBorder="1" applyAlignment="1">
      <alignment horizontal="center" vertical="center" wrapText="1"/>
    </xf>
    <xf numFmtId="0" fontId="0" fillId="0" borderId="6" xfId="0" applyBorder="1" applyAlignment="1">
      <alignment horizontal="center" vertical="center" wrapText="1"/>
    </xf>
    <xf numFmtId="10" fontId="0" fillId="0" borderId="14" xfId="0" applyNumberFormat="1" applyBorder="1" applyAlignment="1">
      <alignment horizontal="center" vertical="center"/>
    </xf>
  </cellXfs>
  <cellStyles count="2">
    <cellStyle name="Normalno" xfId="0" builtinId="0"/>
    <cellStyle name="Postotak"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25</xdr:col>
      <xdr:colOff>224117</xdr:colOff>
      <xdr:row>46</xdr:row>
      <xdr:rowOff>134471</xdr:rowOff>
    </xdr:to>
    <xdr:sp macro="" textlink="">
      <xdr:nvSpPr>
        <xdr:cNvPr id="4" name="TextBox 3"/>
        <xdr:cNvSpPr txBox="1"/>
      </xdr:nvSpPr>
      <xdr:spPr>
        <a:xfrm>
          <a:off x="10925735" y="3429000"/>
          <a:ext cx="5065058" cy="546847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t>Note concerning the sovereign transition probability matrix</a:t>
          </a:r>
        </a:p>
        <a:p>
          <a:endParaRPr lang="en-GB" sz="1100" u="sng"/>
        </a:p>
        <a:p>
          <a:r>
            <a:rPr lang="en-GB" sz="1100" u="none"/>
            <a:t>Unlike on the CR Path Generator tab</a:t>
          </a:r>
          <a:r>
            <a:rPr lang="en-GB" sz="1100" u="none" baseline="0"/>
            <a:t> (for all non-sovereign portfolios), t</a:t>
          </a:r>
          <a:r>
            <a:rPr lang="en-GB" sz="1100" u="none"/>
            <a:t>he user shall here provide</a:t>
          </a:r>
          <a:r>
            <a:rPr lang="en-GB" sz="1100" u="none" baseline="0"/>
            <a:t> not only the 2017 transition matrix, but also the forward paths. </a:t>
          </a:r>
        </a:p>
        <a:p>
          <a:endParaRPr lang="en-GB" sz="1100" u="none" baseline="0"/>
        </a:p>
        <a:p>
          <a:r>
            <a:rPr lang="en-GB" sz="1100" u="none" baseline="0"/>
            <a:t>The following rules apply, which the paths entered by the user shall comply with:</a:t>
          </a:r>
        </a:p>
        <a:p>
          <a:endParaRPr lang="en-GB" sz="1100" u="none" baseline="0"/>
        </a:p>
        <a:p>
          <a:r>
            <a:rPr lang="en-GB" sz="1100" u="none" baseline="0"/>
            <a:t>1. The S1/S2 exposure-weighted average of the TP1-3 and TP2-3 probabilities along the horizon shall equal the prescribed level PD percentage displayed in the range  F9:K9.  This condition should hold in all three years. </a:t>
          </a:r>
        </a:p>
        <a:p>
          <a:endParaRPr lang="en-GB" sz="1100" u="none" baseline="0"/>
        </a:p>
        <a:p>
          <a:r>
            <a:rPr lang="en-GB" sz="1100" u="none" baseline="0"/>
            <a:t>2. The path of the TP1-2 for the three years of the scenario shall not fall relative to the starting point entered by the user in cell H23 under the adverse scenario.</a:t>
          </a:r>
        </a:p>
        <a:p>
          <a:endParaRPr lang="en-GB" sz="1100" u="none" baseline="0"/>
        </a:p>
        <a:p>
          <a:pPr marL="0" marR="0" indent="0" defTabSz="914400" eaLnBrk="1" fontAlgn="auto" latinLnBrk="0" hangingPunct="1">
            <a:lnSpc>
              <a:spcPct val="100000"/>
            </a:lnSpc>
            <a:spcBef>
              <a:spcPts val="0"/>
            </a:spcBef>
            <a:spcAft>
              <a:spcPts val="0"/>
            </a:spcAft>
            <a:buClrTx/>
            <a:buSzTx/>
            <a:buFontTx/>
            <a:buNone/>
            <a:tabLst/>
            <a:defRPr/>
          </a:pPr>
          <a:r>
            <a:rPr lang="en-GB" sz="1100" u="none" baseline="0"/>
            <a:t>3. The </a:t>
          </a:r>
          <a:r>
            <a:rPr lang="en-GB" sz="1100" baseline="0">
              <a:solidFill>
                <a:schemeClr val="dk1"/>
              </a:solidFill>
              <a:effectLst/>
              <a:latin typeface="+mn-lt"/>
              <a:ea typeface="+mn-ea"/>
              <a:cs typeface="+mn-cs"/>
            </a:rPr>
            <a:t>path of the TP2-1 for the three years of the scenario shall not increase relative to the starting point entered by the user in cell G24 under the adverse scenario.</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4. Each row of the matrices shall sum to 100%.</a:t>
          </a:r>
          <a:endParaRPr lang="en-GB">
            <a:effectLst/>
          </a:endParaRPr>
        </a:p>
        <a:p>
          <a:endParaRPr lang="en-GB" sz="1100" u="none"/>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matrix starting point and its forward paths under the two scenarios are used to imply the lifetime loss rate trajectories which are displayed at the bottom of the sheet.</a:t>
          </a:r>
          <a:endParaRPr lang="en-GB">
            <a:effectLst/>
          </a:endParaRPr>
        </a:p>
        <a:p>
          <a:endParaRPr lang="en-GB" sz="1100" u="none" baseline="0"/>
        </a:p>
        <a:p>
          <a:r>
            <a:rPr lang="en-GB" sz="1100" baseline="0"/>
            <a:t> </a:t>
          </a:r>
          <a:endParaRPr lang="en-GB" sz="1100"/>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03"/>
  <sheetViews>
    <sheetView tabSelected="1" zoomScale="85" zoomScaleNormal="85" workbookViewId="0">
      <selection activeCell="D18" sqref="D18"/>
    </sheetView>
  </sheetViews>
  <sheetFormatPr defaultRowHeight="15" x14ac:dyDescent="0.25"/>
  <cols>
    <col min="1" max="2" width="9.140625" style="191"/>
    <col min="3" max="3" width="21.140625" style="191" customWidth="1"/>
    <col min="4" max="4" width="23" style="191" customWidth="1"/>
    <col min="5" max="5" width="23.28515625" style="191" customWidth="1"/>
    <col min="6" max="6" width="111" style="191" customWidth="1"/>
    <col min="7" max="7" width="9.140625" style="191"/>
    <col min="8" max="8" width="13.28515625" style="191" customWidth="1"/>
    <col min="9" max="9" width="46.140625" style="191" bestFit="1" customWidth="1"/>
    <col min="10" max="16384" width="9.140625" style="191"/>
  </cols>
  <sheetData>
    <row r="2" spans="2:2" x14ac:dyDescent="0.25">
      <c r="B2" s="211" t="s">
        <v>258</v>
      </c>
    </row>
    <row r="4" spans="2:2" x14ac:dyDescent="0.25">
      <c r="B4" s="191" t="s">
        <v>439</v>
      </c>
    </row>
    <row r="5" spans="2:2" x14ac:dyDescent="0.25">
      <c r="B5" s="191" t="s">
        <v>259</v>
      </c>
    </row>
    <row r="6" spans="2:2" x14ac:dyDescent="0.25">
      <c r="B6" s="191" t="s">
        <v>442</v>
      </c>
    </row>
    <row r="8" spans="2:2" x14ac:dyDescent="0.25">
      <c r="B8" s="191" t="s">
        <v>443</v>
      </c>
    </row>
    <row r="9" spans="2:2" x14ac:dyDescent="0.25">
      <c r="B9" s="191" t="s">
        <v>440</v>
      </c>
    </row>
    <row r="11" spans="2:2" x14ac:dyDescent="0.25">
      <c r="B11" s="191" t="s">
        <v>444</v>
      </c>
    </row>
    <row r="12" spans="2:2" x14ac:dyDescent="0.25">
      <c r="B12" s="191" t="s">
        <v>445</v>
      </c>
    </row>
    <row r="14" spans="2:2" x14ac:dyDescent="0.25">
      <c r="B14" s="191" t="s">
        <v>441</v>
      </c>
    </row>
    <row r="15" spans="2:2" x14ac:dyDescent="0.25">
      <c r="B15" s="239" t="s">
        <v>446</v>
      </c>
    </row>
    <row r="17" spans="2:6" x14ac:dyDescent="0.25">
      <c r="B17" s="191" t="s">
        <v>449</v>
      </c>
    </row>
    <row r="18" spans="2:6" x14ac:dyDescent="0.25">
      <c r="B18" s="191" t="s">
        <v>447</v>
      </c>
    </row>
    <row r="19" spans="2:6" x14ac:dyDescent="0.25">
      <c r="B19" s="191" t="s">
        <v>448</v>
      </c>
    </row>
    <row r="22" spans="2:6" x14ac:dyDescent="0.25">
      <c r="B22" s="211"/>
    </row>
    <row r="23" spans="2:6" x14ac:dyDescent="0.25">
      <c r="B23" s="211" t="s">
        <v>305</v>
      </c>
    </row>
    <row r="25" spans="2:6" ht="15" customHeight="1" x14ac:dyDescent="0.25">
      <c r="B25" s="368" t="s">
        <v>260</v>
      </c>
      <c r="C25" s="370" t="s">
        <v>264</v>
      </c>
      <c r="D25" s="370" t="s">
        <v>261</v>
      </c>
      <c r="E25" s="361" t="s">
        <v>262</v>
      </c>
      <c r="F25" s="363" t="s">
        <v>263</v>
      </c>
    </row>
    <row r="26" spans="2:6" ht="15.75" thickBot="1" x14ac:dyDescent="0.3">
      <c r="B26" s="369"/>
      <c r="C26" s="371"/>
      <c r="D26" s="371"/>
      <c r="E26" s="362"/>
      <c r="F26" s="364"/>
    </row>
    <row r="27" spans="2:6" ht="15.75" thickTop="1" x14ac:dyDescent="0.25">
      <c r="B27" s="261">
        <v>1</v>
      </c>
      <c r="C27" s="266" t="s">
        <v>17</v>
      </c>
      <c r="D27" s="266" t="s">
        <v>450</v>
      </c>
      <c r="E27" s="268" t="s">
        <v>285</v>
      </c>
      <c r="F27" s="240" t="s">
        <v>451</v>
      </c>
    </row>
    <row r="28" spans="2:6" x14ac:dyDescent="0.25">
      <c r="B28" s="262">
        <v>2</v>
      </c>
      <c r="C28" s="376" t="s">
        <v>265</v>
      </c>
      <c r="D28" s="287" t="s">
        <v>14</v>
      </c>
      <c r="E28" s="269" t="s">
        <v>286</v>
      </c>
      <c r="F28" s="250" t="s">
        <v>302</v>
      </c>
    </row>
    <row r="29" spans="2:6" x14ac:dyDescent="0.25">
      <c r="B29" s="263">
        <v>3</v>
      </c>
      <c r="C29" s="377"/>
      <c r="D29" s="288" t="s">
        <v>15</v>
      </c>
      <c r="E29" s="270" t="s">
        <v>287</v>
      </c>
      <c r="F29" s="251" t="s">
        <v>455</v>
      </c>
    </row>
    <row r="30" spans="2:6" x14ac:dyDescent="0.25">
      <c r="B30" s="264">
        <v>4</v>
      </c>
      <c r="C30" s="378"/>
      <c r="D30" s="289" t="s">
        <v>265</v>
      </c>
      <c r="E30" s="271" t="s">
        <v>288</v>
      </c>
      <c r="F30" s="252" t="s">
        <v>454</v>
      </c>
    </row>
    <row r="31" spans="2:6" x14ac:dyDescent="0.25">
      <c r="B31" s="262">
        <v>5</v>
      </c>
      <c r="C31" s="376" t="s">
        <v>276</v>
      </c>
      <c r="D31" s="287" t="s">
        <v>14</v>
      </c>
      <c r="E31" s="269" t="s">
        <v>289</v>
      </c>
      <c r="F31" s="250" t="s">
        <v>303</v>
      </c>
    </row>
    <row r="32" spans="2:6" x14ac:dyDescent="0.25">
      <c r="B32" s="263">
        <v>6</v>
      </c>
      <c r="C32" s="377"/>
      <c r="D32" s="288" t="s">
        <v>15</v>
      </c>
      <c r="E32" s="270" t="s">
        <v>290</v>
      </c>
      <c r="F32" s="251" t="s">
        <v>456</v>
      </c>
    </row>
    <row r="33" spans="2:6" x14ac:dyDescent="0.25">
      <c r="B33" s="264">
        <v>7</v>
      </c>
      <c r="C33" s="378"/>
      <c r="D33" s="289" t="s">
        <v>276</v>
      </c>
      <c r="E33" s="271" t="s">
        <v>291</v>
      </c>
      <c r="F33" s="252" t="s">
        <v>453</v>
      </c>
    </row>
    <row r="34" spans="2:6" x14ac:dyDescent="0.25">
      <c r="B34" s="262">
        <v>8</v>
      </c>
      <c r="C34" s="376" t="s">
        <v>277</v>
      </c>
      <c r="D34" s="287" t="s">
        <v>14</v>
      </c>
      <c r="E34" s="269" t="s">
        <v>292</v>
      </c>
      <c r="F34" s="250" t="s">
        <v>304</v>
      </c>
    </row>
    <row r="35" spans="2:6" x14ac:dyDescent="0.25">
      <c r="B35" s="263">
        <v>9</v>
      </c>
      <c r="C35" s="377"/>
      <c r="D35" s="288" t="s">
        <v>15</v>
      </c>
      <c r="E35" s="270" t="s">
        <v>293</v>
      </c>
      <c r="F35" s="251" t="s">
        <v>457</v>
      </c>
    </row>
    <row r="36" spans="2:6" x14ac:dyDescent="0.25">
      <c r="B36" s="264">
        <v>10</v>
      </c>
      <c r="C36" s="378"/>
      <c r="D36" s="289" t="s">
        <v>277</v>
      </c>
      <c r="E36" s="271" t="s">
        <v>294</v>
      </c>
      <c r="F36" s="252" t="s">
        <v>452</v>
      </c>
    </row>
    <row r="37" spans="2:6" x14ac:dyDescent="0.25">
      <c r="B37" s="262">
        <v>11</v>
      </c>
      <c r="C37" s="376" t="s">
        <v>266</v>
      </c>
      <c r="D37" s="287" t="s">
        <v>278</v>
      </c>
      <c r="E37" s="269" t="s">
        <v>295</v>
      </c>
      <c r="F37" s="373" t="s">
        <v>458</v>
      </c>
    </row>
    <row r="38" spans="2:6" x14ac:dyDescent="0.25">
      <c r="B38" s="263">
        <v>12</v>
      </c>
      <c r="C38" s="377"/>
      <c r="D38" s="288" t="s">
        <v>279</v>
      </c>
      <c r="E38" s="270" t="s">
        <v>296</v>
      </c>
      <c r="F38" s="374"/>
    </row>
    <row r="39" spans="2:6" x14ac:dyDescent="0.25">
      <c r="B39" s="263">
        <v>13</v>
      </c>
      <c r="C39" s="377"/>
      <c r="D39" s="288" t="s">
        <v>280</v>
      </c>
      <c r="E39" s="270" t="s">
        <v>297</v>
      </c>
      <c r="F39" s="374"/>
    </row>
    <row r="40" spans="2:6" x14ac:dyDescent="0.25">
      <c r="B40" s="263">
        <v>14</v>
      </c>
      <c r="C40" s="377"/>
      <c r="D40" s="288" t="s">
        <v>281</v>
      </c>
      <c r="E40" s="270" t="s">
        <v>298</v>
      </c>
      <c r="F40" s="374"/>
    </row>
    <row r="41" spans="2:6" x14ac:dyDescent="0.25">
      <c r="B41" s="263">
        <v>15</v>
      </c>
      <c r="C41" s="377"/>
      <c r="D41" s="288" t="s">
        <v>282</v>
      </c>
      <c r="E41" s="270" t="s">
        <v>299</v>
      </c>
      <c r="F41" s="374"/>
    </row>
    <row r="42" spans="2:6" x14ac:dyDescent="0.25">
      <c r="B42" s="264">
        <v>16</v>
      </c>
      <c r="C42" s="378"/>
      <c r="D42" s="289" t="s">
        <v>283</v>
      </c>
      <c r="E42" s="271" t="s">
        <v>300</v>
      </c>
      <c r="F42" s="375"/>
    </row>
    <row r="43" spans="2:6" x14ac:dyDescent="0.25">
      <c r="B43" s="265">
        <v>17</v>
      </c>
      <c r="C43" s="267" t="s">
        <v>236</v>
      </c>
      <c r="D43" s="267" t="s">
        <v>284</v>
      </c>
      <c r="E43" s="272" t="s">
        <v>301</v>
      </c>
      <c r="F43" s="241" t="s">
        <v>459</v>
      </c>
    </row>
    <row r="46" spans="2:6" x14ac:dyDescent="0.25">
      <c r="B46" s="236" t="s">
        <v>270</v>
      </c>
      <c r="C46" s="236"/>
      <c r="D46" s="235"/>
    </row>
    <row r="47" spans="2:6" x14ac:dyDescent="0.25">
      <c r="B47" s="235"/>
      <c r="C47" s="235"/>
      <c r="D47" s="235"/>
    </row>
    <row r="48" spans="2:6" x14ac:dyDescent="0.25">
      <c r="B48" s="235"/>
      <c r="C48" s="237" t="s">
        <v>260</v>
      </c>
      <c r="D48" s="238" t="s">
        <v>267</v>
      </c>
    </row>
    <row r="49" spans="2:9" x14ac:dyDescent="0.25">
      <c r="B49" s="365" t="s">
        <v>268</v>
      </c>
      <c r="C49" s="253">
        <v>1</v>
      </c>
      <c r="D49" s="254" t="s">
        <v>30</v>
      </c>
    </row>
    <row r="50" spans="2:9" x14ac:dyDescent="0.25">
      <c r="B50" s="366"/>
      <c r="C50" s="255">
        <v>2</v>
      </c>
      <c r="D50" s="256" t="s">
        <v>32</v>
      </c>
      <c r="F50" s="236"/>
    </row>
    <row r="51" spans="2:9" x14ac:dyDescent="0.25">
      <c r="B51" s="366"/>
      <c r="C51" s="255">
        <v>3</v>
      </c>
      <c r="D51" s="256" t="s">
        <v>34</v>
      </c>
      <c r="F51" s="235"/>
    </row>
    <row r="52" spans="2:9" x14ac:dyDescent="0.25">
      <c r="B52" s="366"/>
      <c r="C52" s="255">
        <v>4</v>
      </c>
      <c r="D52" s="256" t="s">
        <v>36</v>
      </c>
    </row>
    <row r="53" spans="2:9" x14ac:dyDescent="0.25">
      <c r="B53" s="366"/>
      <c r="C53" s="255">
        <v>5</v>
      </c>
      <c r="D53" s="256" t="s">
        <v>38</v>
      </c>
    </row>
    <row r="54" spans="2:9" x14ac:dyDescent="0.25">
      <c r="B54" s="366"/>
      <c r="C54" s="255">
        <v>6</v>
      </c>
      <c r="D54" s="256" t="s">
        <v>40</v>
      </c>
      <c r="H54" s="235"/>
      <c r="I54" s="235"/>
    </row>
    <row r="55" spans="2:9" x14ac:dyDescent="0.25">
      <c r="B55" s="366"/>
      <c r="C55" s="255">
        <v>7</v>
      </c>
      <c r="D55" s="256" t="s">
        <v>42</v>
      </c>
      <c r="H55" s="235"/>
      <c r="I55" s="235"/>
    </row>
    <row r="56" spans="2:9" x14ac:dyDescent="0.25">
      <c r="B56" s="366"/>
      <c r="C56" s="255">
        <v>8</v>
      </c>
      <c r="D56" s="256" t="s">
        <v>44</v>
      </c>
      <c r="H56" s="235"/>
      <c r="I56" s="235"/>
    </row>
    <row r="57" spans="2:9" x14ac:dyDescent="0.25">
      <c r="B57" s="366"/>
      <c r="C57" s="255">
        <v>9</v>
      </c>
      <c r="D57" s="256" t="s">
        <v>46</v>
      </c>
      <c r="H57" s="235"/>
      <c r="I57" s="235"/>
    </row>
    <row r="58" spans="2:9" x14ac:dyDescent="0.25">
      <c r="B58" s="366"/>
      <c r="C58" s="255">
        <v>10</v>
      </c>
      <c r="D58" s="256" t="s">
        <v>48</v>
      </c>
      <c r="H58" s="235"/>
      <c r="I58" s="235"/>
    </row>
    <row r="59" spans="2:9" x14ac:dyDescent="0.25">
      <c r="B59" s="366"/>
      <c r="C59" s="255">
        <v>11</v>
      </c>
      <c r="D59" s="256" t="s">
        <v>50</v>
      </c>
    </row>
    <row r="60" spans="2:9" x14ac:dyDescent="0.25">
      <c r="B60" s="366"/>
      <c r="C60" s="255">
        <v>12</v>
      </c>
      <c r="D60" s="256" t="s">
        <v>52</v>
      </c>
    </row>
    <row r="61" spans="2:9" x14ac:dyDescent="0.25">
      <c r="B61" s="366"/>
      <c r="C61" s="255">
        <v>13</v>
      </c>
      <c r="D61" s="256" t="s">
        <v>54</v>
      </c>
    </row>
    <row r="62" spans="2:9" x14ac:dyDescent="0.25">
      <c r="B62" s="366"/>
      <c r="C62" s="255">
        <v>14</v>
      </c>
      <c r="D62" s="256" t="s">
        <v>56</v>
      </c>
    </row>
    <row r="63" spans="2:9" x14ac:dyDescent="0.25">
      <c r="B63" s="366"/>
      <c r="C63" s="255">
        <v>15</v>
      </c>
      <c r="D63" s="256" t="s">
        <v>58</v>
      </c>
    </row>
    <row r="64" spans="2:9" x14ac:dyDescent="0.25">
      <c r="B64" s="366"/>
      <c r="C64" s="255">
        <v>16</v>
      </c>
      <c r="D64" s="256" t="s">
        <v>60</v>
      </c>
    </row>
    <row r="65" spans="2:4" x14ac:dyDescent="0.25">
      <c r="B65" s="366"/>
      <c r="C65" s="255">
        <v>17</v>
      </c>
      <c r="D65" s="256" t="s">
        <v>62</v>
      </c>
    </row>
    <row r="66" spans="2:4" x14ac:dyDescent="0.25">
      <c r="B66" s="366"/>
      <c r="C66" s="255">
        <v>18</v>
      </c>
      <c r="D66" s="256" t="s">
        <v>64</v>
      </c>
    </row>
    <row r="67" spans="2:4" x14ac:dyDescent="0.25">
      <c r="B67" s="366"/>
      <c r="C67" s="255">
        <v>19</v>
      </c>
      <c r="D67" s="256" t="s">
        <v>66</v>
      </c>
    </row>
    <row r="68" spans="2:4" x14ac:dyDescent="0.25">
      <c r="B68" s="366"/>
      <c r="C68" s="255">
        <v>20</v>
      </c>
      <c r="D68" s="256" t="s">
        <v>3</v>
      </c>
    </row>
    <row r="69" spans="2:4" x14ac:dyDescent="0.25">
      <c r="B69" s="366"/>
      <c r="C69" s="255">
        <v>21</v>
      </c>
      <c r="D69" s="256" t="s">
        <v>69</v>
      </c>
    </row>
    <row r="70" spans="2:4" x14ac:dyDescent="0.25">
      <c r="B70" s="366"/>
      <c r="C70" s="255">
        <v>22</v>
      </c>
      <c r="D70" s="256" t="s">
        <v>71</v>
      </c>
    </row>
    <row r="71" spans="2:4" x14ac:dyDescent="0.25">
      <c r="B71" s="366"/>
      <c r="C71" s="255">
        <v>23</v>
      </c>
      <c r="D71" s="256" t="s">
        <v>73</v>
      </c>
    </row>
    <row r="72" spans="2:4" x14ac:dyDescent="0.25">
      <c r="B72" s="366"/>
      <c r="C72" s="255">
        <v>24</v>
      </c>
      <c r="D72" s="256" t="s">
        <v>75</v>
      </c>
    </row>
    <row r="73" spans="2:4" x14ac:dyDescent="0.25">
      <c r="B73" s="366"/>
      <c r="C73" s="255">
        <v>25</v>
      </c>
      <c r="D73" s="256" t="s">
        <v>77</v>
      </c>
    </row>
    <row r="74" spans="2:4" x14ac:dyDescent="0.25">
      <c r="B74" s="366"/>
      <c r="C74" s="255">
        <v>26</v>
      </c>
      <c r="D74" s="256" t="s">
        <v>79</v>
      </c>
    </row>
    <row r="75" spans="2:4" x14ac:dyDescent="0.25">
      <c r="B75" s="366"/>
      <c r="C75" s="255">
        <v>27</v>
      </c>
      <c r="D75" s="256" t="s">
        <v>81</v>
      </c>
    </row>
    <row r="76" spans="2:4" x14ac:dyDescent="0.25">
      <c r="B76" s="367"/>
      <c r="C76" s="257">
        <v>28</v>
      </c>
      <c r="D76" s="258" t="s">
        <v>83</v>
      </c>
    </row>
    <row r="77" spans="2:4" x14ac:dyDescent="0.25">
      <c r="B77" s="365" t="s">
        <v>269</v>
      </c>
      <c r="C77" s="259">
        <v>29</v>
      </c>
      <c r="D77" s="260" t="s">
        <v>84</v>
      </c>
    </row>
    <row r="78" spans="2:4" x14ac:dyDescent="0.25">
      <c r="B78" s="366"/>
      <c r="C78" s="255">
        <v>30</v>
      </c>
      <c r="D78" s="256" t="s">
        <v>85</v>
      </c>
    </row>
    <row r="79" spans="2:4" x14ac:dyDescent="0.25">
      <c r="B79" s="366"/>
      <c r="C79" s="255">
        <v>31</v>
      </c>
      <c r="D79" s="256" t="s">
        <v>86</v>
      </c>
    </row>
    <row r="80" spans="2:4" x14ac:dyDescent="0.25">
      <c r="B80" s="366"/>
      <c r="C80" s="255">
        <v>32</v>
      </c>
      <c r="D80" s="256" t="s">
        <v>87</v>
      </c>
    </row>
    <row r="81" spans="2:4" x14ac:dyDescent="0.25">
      <c r="B81" s="366"/>
      <c r="C81" s="255">
        <v>33</v>
      </c>
      <c r="D81" s="256" t="s">
        <v>88</v>
      </c>
    </row>
    <row r="82" spans="2:4" x14ac:dyDescent="0.25">
      <c r="B82" s="366"/>
      <c r="C82" s="255">
        <v>34</v>
      </c>
      <c r="D82" s="256" t="s">
        <v>89</v>
      </c>
    </row>
    <row r="83" spans="2:4" x14ac:dyDescent="0.25">
      <c r="B83" s="366"/>
      <c r="C83" s="255">
        <v>35</v>
      </c>
      <c r="D83" s="256" t="s">
        <v>90</v>
      </c>
    </row>
    <row r="84" spans="2:4" x14ac:dyDescent="0.25">
      <c r="B84" s="366"/>
      <c r="C84" s="255">
        <v>36</v>
      </c>
      <c r="D84" s="256" t="s">
        <v>91</v>
      </c>
    </row>
    <row r="85" spans="2:4" x14ac:dyDescent="0.25">
      <c r="B85" s="366"/>
      <c r="C85" s="255">
        <v>37</v>
      </c>
      <c r="D85" s="256" t="s">
        <v>92</v>
      </c>
    </row>
    <row r="86" spans="2:4" x14ac:dyDescent="0.25">
      <c r="B86" s="366"/>
      <c r="C86" s="255">
        <v>38</v>
      </c>
      <c r="D86" s="256" t="s">
        <v>93</v>
      </c>
    </row>
    <row r="87" spans="2:4" x14ac:dyDescent="0.25">
      <c r="B87" s="366"/>
      <c r="C87" s="255">
        <v>39</v>
      </c>
      <c r="D87" s="256" t="s">
        <v>94</v>
      </c>
    </row>
    <row r="88" spans="2:4" x14ac:dyDescent="0.25">
      <c r="B88" s="366"/>
      <c r="C88" s="255">
        <v>40</v>
      </c>
      <c r="D88" s="256" t="s">
        <v>95</v>
      </c>
    </row>
    <row r="89" spans="2:4" x14ac:dyDescent="0.25">
      <c r="B89" s="366"/>
      <c r="C89" s="255">
        <v>41</v>
      </c>
      <c r="D89" s="256" t="s">
        <v>96</v>
      </c>
    </row>
    <row r="90" spans="2:4" x14ac:dyDescent="0.25">
      <c r="B90" s="366"/>
      <c r="C90" s="255">
        <v>42</v>
      </c>
      <c r="D90" s="256" t="s">
        <v>97</v>
      </c>
    </row>
    <row r="91" spans="2:4" x14ac:dyDescent="0.25">
      <c r="B91" s="366"/>
      <c r="C91" s="255">
        <v>43</v>
      </c>
      <c r="D91" s="256" t="s">
        <v>98</v>
      </c>
    </row>
    <row r="92" spans="2:4" x14ac:dyDescent="0.25">
      <c r="B92" s="367"/>
      <c r="C92" s="257">
        <v>44</v>
      </c>
      <c r="D92" s="258" t="s">
        <v>99</v>
      </c>
    </row>
    <row r="95" spans="2:4" x14ac:dyDescent="0.25">
      <c r="B95" s="236" t="s">
        <v>271</v>
      </c>
    </row>
    <row r="97" spans="2:5" x14ac:dyDescent="0.25">
      <c r="B97" s="237" t="s">
        <v>260</v>
      </c>
      <c r="C97" s="238" t="s">
        <v>272</v>
      </c>
      <c r="D97" s="372" t="s">
        <v>273</v>
      </c>
      <c r="E97" s="372"/>
    </row>
    <row r="98" spans="2:5" x14ac:dyDescent="0.25">
      <c r="B98" s="273">
        <v>1</v>
      </c>
      <c r="C98" s="274" t="s">
        <v>25</v>
      </c>
      <c r="D98" s="274" t="s">
        <v>274</v>
      </c>
      <c r="E98" s="274"/>
    </row>
    <row r="99" spans="2:5" x14ac:dyDescent="0.25">
      <c r="B99" s="275">
        <v>2</v>
      </c>
      <c r="C99" s="276" t="s">
        <v>24</v>
      </c>
      <c r="D99" s="276" t="s">
        <v>275</v>
      </c>
      <c r="E99" s="276"/>
    </row>
    <row r="100" spans="2:5" x14ac:dyDescent="0.25">
      <c r="B100" s="275">
        <v>3</v>
      </c>
      <c r="C100" s="276" t="s">
        <v>118</v>
      </c>
      <c r="D100" s="276" t="s">
        <v>2</v>
      </c>
      <c r="E100" s="276"/>
    </row>
    <row r="101" spans="2:5" x14ac:dyDescent="0.25">
      <c r="B101" s="275">
        <v>4</v>
      </c>
      <c r="C101" s="276" t="s">
        <v>119</v>
      </c>
      <c r="D101" s="276" t="s">
        <v>26</v>
      </c>
      <c r="E101" s="276"/>
    </row>
    <row r="102" spans="2:5" x14ac:dyDescent="0.25">
      <c r="B102" s="277">
        <v>5</v>
      </c>
      <c r="C102" s="278" t="s">
        <v>120</v>
      </c>
      <c r="D102" s="278" t="s">
        <v>27</v>
      </c>
      <c r="E102" s="278"/>
    </row>
    <row r="103" spans="2:5" x14ac:dyDescent="0.25">
      <c r="B103" s="237">
        <v>6</v>
      </c>
      <c r="C103" s="197" t="s">
        <v>150</v>
      </c>
      <c r="D103" s="197" t="s">
        <v>152</v>
      </c>
      <c r="E103" s="197"/>
    </row>
  </sheetData>
  <sheetProtection password="F54F" sheet="1" objects="1" scenarios="1"/>
  <mergeCells count="13">
    <mergeCell ref="D97:E97"/>
    <mergeCell ref="F37:F42"/>
    <mergeCell ref="C28:C30"/>
    <mergeCell ref="C31:C33"/>
    <mergeCell ref="C34:C36"/>
    <mergeCell ref="C37:C42"/>
    <mergeCell ref="E25:E26"/>
    <mergeCell ref="F25:F26"/>
    <mergeCell ref="B49:B76"/>
    <mergeCell ref="B77:B92"/>
    <mergeCell ref="B25:B26"/>
    <mergeCell ref="C25:C26"/>
    <mergeCell ref="D25:D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B152"/>
  <sheetViews>
    <sheetView zoomScale="80" zoomScaleNormal="80" workbookViewId="0">
      <selection activeCell="C18" sqref="C18"/>
    </sheetView>
  </sheetViews>
  <sheetFormatPr defaultRowHeight="15" x14ac:dyDescent="0.25"/>
  <cols>
    <col min="1" max="1" width="9.140625" style="291"/>
    <col min="2" max="2" width="10.42578125" style="291" customWidth="1"/>
    <col min="3" max="3" width="27.5703125" style="326" customWidth="1"/>
    <col min="4" max="15" width="10.42578125" style="326" customWidth="1"/>
    <col min="16" max="54" width="9.140625" style="291"/>
    <col min="55" max="16384" width="9.140625" style="326"/>
  </cols>
  <sheetData>
    <row r="1" spans="2:15" s="291" customFormat="1" x14ac:dyDescent="0.25"/>
    <row r="2" spans="2:15" s="291" customFormat="1" x14ac:dyDescent="0.25">
      <c r="B2" s="290"/>
      <c r="C2" s="291" t="s">
        <v>116</v>
      </c>
    </row>
    <row r="3" spans="2:15" s="291" customFormat="1" x14ac:dyDescent="0.25">
      <c r="B3" s="293"/>
      <c r="C3" s="291" t="s">
        <v>117</v>
      </c>
    </row>
    <row r="4" spans="2:15" s="291" customFormat="1" x14ac:dyDescent="0.25">
      <c r="B4" s="294"/>
      <c r="C4" s="291" t="s">
        <v>20</v>
      </c>
    </row>
    <row r="5" spans="2:15" s="291" customFormat="1" x14ac:dyDescent="0.25"/>
    <row r="6" spans="2:15" s="291" customFormat="1" x14ac:dyDescent="0.25">
      <c r="C6" s="319" t="s">
        <v>19</v>
      </c>
    </row>
    <row r="7" spans="2:15" s="291" customFormat="1" x14ac:dyDescent="0.25"/>
    <row r="8" spans="2:15" s="291" customFormat="1" x14ac:dyDescent="0.25">
      <c r="C8" s="291" t="s">
        <v>18</v>
      </c>
      <c r="D8" s="381" t="s">
        <v>10</v>
      </c>
      <c r="E8" s="381"/>
    </row>
    <row r="9" spans="2:15" x14ac:dyDescent="0.25">
      <c r="C9" s="196" t="s">
        <v>24</v>
      </c>
      <c r="D9" s="379" t="s">
        <v>36</v>
      </c>
      <c r="E9" s="380"/>
      <c r="F9" s="291"/>
      <c r="G9" s="291"/>
      <c r="H9" s="291"/>
      <c r="I9" s="291"/>
      <c r="J9" s="291"/>
      <c r="K9" s="291"/>
      <c r="L9" s="291"/>
      <c r="M9" s="291"/>
      <c r="N9" s="291"/>
      <c r="O9" s="291"/>
    </row>
    <row r="10" spans="2:15" s="291" customFormat="1" x14ac:dyDescent="0.25"/>
    <row r="11" spans="2:15" s="291" customFormat="1" x14ac:dyDescent="0.25"/>
    <row r="12" spans="2:15" s="291" customFormat="1" x14ac:dyDescent="0.25">
      <c r="C12" s="308" t="s">
        <v>232</v>
      </c>
    </row>
    <row r="13" spans="2:15" s="291" customFormat="1" x14ac:dyDescent="0.25">
      <c r="C13" s="327"/>
      <c r="D13" s="327"/>
      <c r="E13" s="327"/>
      <c r="F13" s="327"/>
      <c r="G13" s="327"/>
      <c r="H13" s="327"/>
      <c r="I13" s="327"/>
      <c r="J13" s="327"/>
      <c r="K13" s="327"/>
      <c r="L13" s="327"/>
      <c r="M13" s="327"/>
      <c r="N13" s="327"/>
      <c r="O13" s="327"/>
    </row>
    <row r="14" spans="2:15" s="291" customFormat="1" x14ac:dyDescent="0.25">
      <c r="C14" s="382" t="s">
        <v>251</v>
      </c>
      <c r="D14" s="384" t="s">
        <v>21</v>
      </c>
      <c r="E14" s="385"/>
      <c r="F14" s="385"/>
      <c r="G14" s="385"/>
      <c r="H14" s="385"/>
      <c r="I14" s="386"/>
      <c r="J14" s="384" t="s">
        <v>4</v>
      </c>
      <c r="K14" s="385"/>
      <c r="L14" s="385"/>
      <c r="M14" s="385"/>
      <c r="N14" s="385"/>
      <c r="O14" s="386"/>
    </row>
    <row r="15" spans="2:15" x14ac:dyDescent="0.25">
      <c r="C15" s="382"/>
      <c r="D15" s="387" t="s">
        <v>0</v>
      </c>
      <c r="E15" s="388"/>
      <c r="F15" s="389"/>
      <c r="G15" s="390" t="s">
        <v>1</v>
      </c>
      <c r="H15" s="391"/>
      <c r="I15" s="392"/>
      <c r="J15" s="387" t="s">
        <v>0</v>
      </c>
      <c r="K15" s="388"/>
      <c r="L15" s="389"/>
      <c r="M15" s="391" t="s">
        <v>1</v>
      </c>
      <c r="N15" s="391"/>
      <c r="O15" s="392"/>
    </row>
    <row r="16" spans="2:15" s="291" customFormat="1" x14ac:dyDescent="0.25">
      <c r="C16" s="383"/>
      <c r="D16" s="295">
        <v>2018</v>
      </c>
      <c r="E16" s="296">
        <v>2019</v>
      </c>
      <c r="F16" s="297">
        <v>2020</v>
      </c>
      <c r="G16" s="298">
        <v>2018</v>
      </c>
      <c r="H16" s="298">
        <v>2019</v>
      </c>
      <c r="I16" s="299">
        <v>2020</v>
      </c>
      <c r="J16" s="295">
        <v>2018</v>
      </c>
      <c r="K16" s="296">
        <v>2019</v>
      </c>
      <c r="L16" s="297">
        <v>2020</v>
      </c>
      <c r="M16" s="298">
        <v>2018</v>
      </c>
      <c r="N16" s="298">
        <v>2019</v>
      </c>
      <c r="O16" s="299">
        <v>2020</v>
      </c>
    </row>
    <row r="17" spans="1:15" ht="18" customHeight="1" x14ac:dyDescent="0.25">
      <c r="B17" s="328" t="s">
        <v>17</v>
      </c>
      <c r="C17" s="192">
        <v>1.4999999999999999E-2</v>
      </c>
      <c r="D17" s="329">
        <f t="array" ref="D17:O17">'Processor PDs'!L56:W56</f>
        <v>1.479716759249332E-2</v>
      </c>
      <c r="E17" s="330">
        <v>1.5101182090084996E-2</v>
      </c>
      <c r="F17" s="331">
        <v>1.5198524842489326E-2</v>
      </c>
      <c r="G17" s="332">
        <v>3.9172428438579467E-2</v>
      </c>
      <c r="H17" s="330">
        <v>5.1239941022748502E-2</v>
      </c>
      <c r="I17" s="331">
        <v>5.5381862190373672E-2</v>
      </c>
      <c r="J17" s="333">
        <v>0.9864778394995547</v>
      </c>
      <c r="K17" s="333">
        <v>1.0067454726723331</v>
      </c>
      <c r="L17" s="334">
        <v>1.0132349894992885</v>
      </c>
      <c r="M17" s="333">
        <v>2.6114952292386313</v>
      </c>
      <c r="N17" s="333">
        <v>3.4159960681832335</v>
      </c>
      <c r="O17" s="334">
        <v>3.6921241460249115</v>
      </c>
    </row>
    <row r="18" spans="1:15" s="291" customFormat="1" x14ac:dyDescent="0.25"/>
    <row r="19" spans="1:15" s="291" customFormat="1" ht="17.25" x14ac:dyDescent="0.25">
      <c r="C19" s="308" t="s">
        <v>237</v>
      </c>
    </row>
    <row r="20" spans="1:15" s="291" customFormat="1" x14ac:dyDescent="0.25">
      <c r="C20" s="327"/>
      <c r="D20" s="327"/>
      <c r="E20" s="327"/>
      <c r="F20" s="327"/>
      <c r="G20" s="327"/>
      <c r="H20" s="327"/>
      <c r="I20" s="327"/>
      <c r="J20" s="327"/>
      <c r="K20" s="327"/>
      <c r="L20" s="327"/>
      <c r="M20" s="327"/>
      <c r="N20" s="327"/>
      <c r="O20" s="327"/>
    </row>
    <row r="21" spans="1:15" s="291" customFormat="1" x14ac:dyDescent="0.25">
      <c r="C21" s="382" t="s">
        <v>252</v>
      </c>
      <c r="D21" s="384" t="s">
        <v>22</v>
      </c>
      <c r="E21" s="385"/>
      <c r="F21" s="385"/>
      <c r="G21" s="385"/>
      <c r="H21" s="385"/>
      <c r="I21" s="386"/>
      <c r="J21" s="384" t="s">
        <v>4</v>
      </c>
      <c r="K21" s="385"/>
      <c r="L21" s="385"/>
      <c r="M21" s="385"/>
      <c r="N21" s="385"/>
      <c r="O21" s="386"/>
    </row>
    <row r="22" spans="1:15" x14ac:dyDescent="0.25">
      <c r="C22" s="382"/>
      <c r="D22" s="387" t="s">
        <v>0</v>
      </c>
      <c r="E22" s="388"/>
      <c r="F22" s="389"/>
      <c r="G22" s="390" t="s">
        <v>1</v>
      </c>
      <c r="H22" s="391"/>
      <c r="I22" s="392"/>
      <c r="J22" s="387" t="s">
        <v>0</v>
      </c>
      <c r="K22" s="388"/>
      <c r="L22" s="389"/>
      <c r="M22" s="391" t="s">
        <v>1</v>
      </c>
      <c r="N22" s="391"/>
      <c r="O22" s="392"/>
    </row>
    <row r="23" spans="1:15" s="291" customFormat="1" x14ac:dyDescent="0.25">
      <c r="C23" s="383"/>
      <c r="D23" s="295">
        <v>2018</v>
      </c>
      <c r="E23" s="296">
        <v>2019</v>
      </c>
      <c r="F23" s="297">
        <v>2020</v>
      </c>
      <c r="G23" s="295">
        <v>2018</v>
      </c>
      <c r="H23" s="296">
        <v>2019</v>
      </c>
      <c r="I23" s="299">
        <v>2020</v>
      </c>
      <c r="J23" s="295">
        <v>2018</v>
      </c>
      <c r="K23" s="296">
        <v>2019</v>
      </c>
      <c r="L23" s="297">
        <v>2020</v>
      </c>
      <c r="M23" s="295">
        <v>2018</v>
      </c>
      <c r="N23" s="296">
        <v>2019</v>
      </c>
      <c r="O23" s="299">
        <v>2020</v>
      </c>
    </row>
    <row r="24" spans="1:15" ht="18" customHeight="1" x14ac:dyDescent="0.25">
      <c r="A24" s="347"/>
      <c r="B24" s="328" t="s">
        <v>14</v>
      </c>
      <c r="C24" s="345">
        <v>0.4</v>
      </c>
      <c r="D24" s="335"/>
      <c r="E24" s="291"/>
      <c r="F24" s="291"/>
      <c r="G24" s="291"/>
      <c r="H24" s="291"/>
      <c r="I24" s="291"/>
      <c r="J24" s="291"/>
      <c r="K24" s="291"/>
      <c r="L24" s="291"/>
      <c r="M24" s="291"/>
      <c r="N24" s="291"/>
      <c r="O24" s="291"/>
    </row>
    <row r="25" spans="1:15" ht="18" customHeight="1" x14ac:dyDescent="0.25">
      <c r="A25" s="347"/>
      <c r="B25" s="328" t="s">
        <v>15</v>
      </c>
      <c r="C25" s="345">
        <v>0.6</v>
      </c>
      <c r="D25" s="335"/>
      <c r="E25" s="291"/>
      <c r="F25" s="291"/>
      <c r="G25" s="291"/>
      <c r="H25" s="291"/>
      <c r="I25" s="291"/>
      <c r="J25" s="291"/>
      <c r="K25" s="291"/>
      <c r="L25" s="291"/>
      <c r="M25" s="291"/>
      <c r="N25" s="291"/>
      <c r="O25" s="291"/>
    </row>
    <row r="26" spans="1:15" ht="18" customHeight="1" x14ac:dyDescent="0.25">
      <c r="A26" s="347"/>
      <c r="B26" s="328" t="s">
        <v>238</v>
      </c>
      <c r="C26" s="193">
        <v>0.15</v>
      </c>
      <c r="D26" s="336">
        <f>'Processor LGD1-3'!$V$16</f>
        <v>0.13043060601683149</v>
      </c>
      <c r="E26" s="337">
        <f>'Processor LGD1-3'!$V$16</f>
        <v>0.13043060601683149</v>
      </c>
      <c r="F26" s="338">
        <f>'Processor LGD1-3'!$V$16</f>
        <v>0.13043060601683149</v>
      </c>
      <c r="G26" s="339">
        <f>'Processor LGD1-3'!$W$16</f>
        <v>0.25308688099722704</v>
      </c>
      <c r="H26" s="337">
        <f>'Processor LGD1-3'!$W$16</f>
        <v>0.25308688099722704</v>
      </c>
      <c r="I26" s="338">
        <f>'Processor LGD1-3'!$W$16</f>
        <v>0.25308688099722704</v>
      </c>
      <c r="J26" s="333">
        <f>'Processor LGD1-3'!$X$16</f>
        <v>0.86953737344554327</v>
      </c>
      <c r="K26" s="333">
        <f>'Processor LGD1-3'!$X$16</f>
        <v>0.86953737344554327</v>
      </c>
      <c r="L26" s="334">
        <f>'Processor LGD1-3'!$X$16</f>
        <v>0.86953737344554327</v>
      </c>
      <c r="M26" s="333">
        <f>'Processor LGD1-3'!$Y$16</f>
        <v>1.687245873314847</v>
      </c>
      <c r="N26" s="333">
        <f>'Processor LGD1-3'!$Y$16</f>
        <v>1.687245873314847</v>
      </c>
      <c r="O26" s="334">
        <f>'Processor LGD1-3'!$Y$16</f>
        <v>1.687245873314847</v>
      </c>
    </row>
    <row r="27" spans="1:15" s="291" customFormat="1" x14ac:dyDescent="0.25"/>
    <row r="28" spans="1:15" s="291" customFormat="1" ht="17.25" x14ac:dyDescent="0.25">
      <c r="C28" s="308" t="s">
        <v>239</v>
      </c>
    </row>
    <row r="29" spans="1:15" s="291" customFormat="1" x14ac:dyDescent="0.25">
      <c r="C29" s="327"/>
      <c r="D29" s="327"/>
      <c r="E29" s="327"/>
      <c r="F29" s="327"/>
      <c r="G29" s="327"/>
      <c r="H29" s="327"/>
      <c r="I29" s="327"/>
      <c r="J29" s="327"/>
      <c r="K29" s="327"/>
      <c r="L29" s="327"/>
      <c r="M29" s="327"/>
      <c r="N29" s="327"/>
      <c r="O29" s="327"/>
    </row>
    <row r="30" spans="1:15" s="291" customFormat="1" ht="15" customHeight="1" x14ac:dyDescent="0.25">
      <c r="C30" s="382" t="s">
        <v>252</v>
      </c>
      <c r="D30" s="384" t="s">
        <v>22</v>
      </c>
      <c r="E30" s="385"/>
      <c r="F30" s="385"/>
      <c r="G30" s="385"/>
      <c r="H30" s="385"/>
      <c r="I30" s="386"/>
      <c r="J30" s="384" t="s">
        <v>4</v>
      </c>
      <c r="K30" s="385"/>
      <c r="L30" s="385"/>
      <c r="M30" s="385"/>
      <c r="N30" s="385"/>
      <c r="O30" s="386"/>
    </row>
    <row r="31" spans="1:15" s="291" customFormat="1" x14ac:dyDescent="0.25">
      <c r="C31" s="382"/>
      <c r="D31" s="387" t="s">
        <v>0</v>
      </c>
      <c r="E31" s="388"/>
      <c r="F31" s="389"/>
      <c r="G31" s="390" t="s">
        <v>1</v>
      </c>
      <c r="H31" s="391"/>
      <c r="I31" s="392"/>
      <c r="J31" s="387" t="s">
        <v>0</v>
      </c>
      <c r="K31" s="388"/>
      <c r="L31" s="389"/>
      <c r="M31" s="391" t="s">
        <v>1</v>
      </c>
      <c r="N31" s="391"/>
      <c r="O31" s="392"/>
    </row>
    <row r="32" spans="1:15" s="291" customFormat="1" x14ac:dyDescent="0.25">
      <c r="C32" s="383"/>
      <c r="D32" s="295">
        <v>2018</v>
      </c>
      <c r="E32" s="296">
        <v>2019</v>
      </c>
      <c r="F32" s="297">
        <v>2020</v>
      </c>
      <c r="G32" s="295">
        <v>2018</v>
      </c>
      <c r="H32" s="296">
        <v>2019</v>
      </c>
      <c r="I32" s="299">
        <v>2020</v>
      </c>
      <c r="J32" s="295">
        <v>2018</v>
      </c>
      <c r="K32" s="296">
        <v>2019</v>
      </c>
      <c r="L32" s="297">
        <v>2020</v>
      </c>
      <c r="M32" s="295">
        <v>2018</v>
      </c>
      <c r="N32" s="296">
        <v>2019</v>
      </c>
      <c r="O32" s="299">
        <v>2020</v>
      </c>
    </row>
    <row r="33" spans="2:15" s="291" customFormat="1" ht="18" customHeight="1" x14ac:dyDescent="0.25">
      <c r="B33" s="328" t="s">
        <v>14</v>
      </c>
      <c r="C33" s="345">
        <v>0.35</v>
      </c>
      <c r="D33" s="335"/>
    </row>
    <row r="34" spans="2:15" s="291" customFormat="1" ht="18" customHeight="1" x14ac:dyDescent="0.25">
      <c r="B34" s="328" t="s">
        <v>15</v>
      </c>
      <c r="C34" s="345">
        <v>0.7</v>
      </c>
      <c r="D34" s="335"/>
    </row>
    <row r="35" spans="2:15" s="291" customFormat="1" ht="18" customHeight="1" x14ac:dyDescent="0.25">
      <c r="B35" s="328" t="s">
        <v>240</v>
      </c>
      <c r="C35" s="193">
        <v>0.2</v>
      </c>
      <c r="D35" s="336">
        <f>'Processor LGD2-3'!$V$16</f>
        <v>0.16459752684908685</v>
      </c>
      <c r="E35" s="337">
        <f>'Processor LGD2-3'!$V$16</f>
        <v>0.16459752684908685</v>
      </c>
      <c r="F35" s="338">
        <f>'Processor LGD2-3'!$V$16</f>
        <v>0.16459752684908685</v>
      </c>
      <c r="G35" s="339">
        <f>'Processor LGD2-3'!$W$16</f>
        <v>0.32035892298340057</v>
      </c>
      <c r="H35" s="337">
        <f>'Processor LGD2-3'!$W$16</f>
        <v>0.32035892298340057</v>
      </c>
      <c r="I35" s="338">
        <f>'Processor LGD2-3'!$W$16</f>
        <v>0.32035892298340057</v>
      </c>
      <c r="J35" s="333">
        <f>'Processor LGD2-3'!$X$16</f>
        <v>0.8229876342454342</v>
      </c>
      <c r="K35" s="333">
        <f>'Processor LGD2-3'!$X$16</f>
        <v>0.8229876342454342</v>
      </c>
      <c r="L35" s="334">
        <f>'Processor LGD2-3'!$X$16</f>
        <v>0.8229876342454342</v>
      </c>
      <c r="M35" s="333">
        <f>'Processor LGD2-3'!$Y$16</f>
        <v>1.6017946149170028</v>
      </c>
      <c r="N35" s="333">
        <f>'Processor LGD2-3'!$Y$16</f>
        <v>1.6017946149170028</v>
      </c>
      <c r="O35" s="334">
        <f>'Processor LGD2-3'!$Y$16</f>
        <v>1.6017946149170028</v>
      </c>
    </row>
    <row r="36" spans="2:15" s="291" customFormat="1" x14ac:dyDescent="0.25"/>
    <row r="37" spans="2:15" s="291" customFormat="1" ht="17.25" x14ac:dyDescent="0.25">
      <c r="C37" s="308" t="s">
        <v>241</v>
      </c>
    </row>
    <row r="38" spans="2:15" s="291" customFormat="1" x14ac:dyDescent="0.25">
      <c r="C38" s="327"/>
      <c r="D38" s="327"/>
      <c r="E38" s="327"/>
      <c r="F38" s="327"/>
      <c r="G38" s="327"/>
      <c r="H38" s="327"/>
      <c r="I38" s="327"/>
      <c r="J38" s="327"/>
      <c r="K38" s="327"/>
      <c r="L38" s="327"/>
      <c r="M38" s="327"/>
      <c r="N38" s="327"/>
      <c r="O38" s="327"/>
    </row>
    <row r="39" spans="2:15" s="291" customFormat="1" ht="15" customHeight="1" x14ac:dyDescent="0.25">
      <c r="C39" s="382" t="s">
        <v>252</v>
      </c>
      <c r="D39" s="384" t="s">
        <v>22</v>
      </c>
      <c r="E39" s="385"/>
      <c r="F39" s="385"/>
      <c r="G39" s="385"/>
      <c r="H39" s="385"/>
      <c r="I39" s="386"/>
      <c r="J39" s="384" t="s">
        <v>4</v>
      </c>
      <c r="K39" s="385"/>
      <c r="L39" s="385"/>
      <c r="M39" s="385"/>
      <c r="N39" s="385"/>
      <c r="O39" s="386"/>
    </row>
    <row r="40" spans="2:15" s="291" customFormat="1" x14ac:dyDescent="0.25">
      <c r="C40" s="382"/>
      <c r="D40" s="387" t="s">
        <v>0</v>
      </c>
      <c r="E40" s="388"/>
      <c r="F40" s="389"/>
      <c r="G40" s="390" t="s">
        <v>1</v>
      </c>
      <c r="H40" s="391"/>
      <c r="I40" s="392"/>
      <c r="J40" s="387" t="s">
        <v>0</v>
      </c>
      <c r="K40" s="388"/>
      <c r="L40" s="389"/>
      <c r="M40" s="391" t="s">
        <v>1</v>
      </c>
      <c r="N40" s="391"/>
      <c r="O40" s="392"/>
    </row>
    <row r="41" spans="2:15" s="291" customFormat="1" x14ac:dyDescent="0.25">
      <c r="C41" s="383"/>
      <c r="D41" s="295">
        <v>2018</v>
      </c>
      <c r="E41" s="296">
        <v>2019</v>
      </c>
      <c r="F41" s="297">
        <v>2020</v>
      </c>
      <c r="G41" s="295">
        <v>2018</v>
      </c>
      <c r="H41" s="296">
        <v>2019</v>
      </c>
      <c r="I41" s="299">
        <v>2020</v>
      </c>
      <c r="J41" s="295">
        <v>2018</v>
      </c>
      <c r="K41" s="296">
        <v>2019</v>
      </c>
      <c r="L41" s="297">
        <v>2020</v>
      </c>
      <c r="M41" s="295">
        <v>2018</v>
      </c>
      <c r="N41" s="296">
        <v>2019</v>
      </c>
      <c r="O41" s="299">
        <v>2020</v>
      </c>
    </row>
    <row r="42" spans="2:15" s="291" customFormat="1" ht="18" customHeight="1" x14ac:dyDescent="0.25">
      <c r="B42" s="328" t="s">
        <v>14</v>
      </c>
      <c r="C42" s="345">
        <v>0.3</v>
      </c>
      <c r="D42" s="335"/>
    </row>
    <row r="43" spans="2:15" s="291" customFormat="1" ht="18" customHeight="1" x14ac:dyDescent="0.25">
      <c r="B43" s="328" t="s">
        <v>15</v>
      </c>
      <c r="C43" s="345">
        <v>0.8</v>
      </c>
      <c r="D43" s="335"/>
    </row>
    <row r="44" spans="2:15" s="291" customFormat="1" ht="18" customHeight="1" x14ac:dyDescent="0.25">
      <c r="B44" s="328" t="s">
        <v>242</v>
      </c>
      <c r="C44" s="193">
        <v>0.25</v>
      </c>
      <c r="D44" s="336">
        <f>'Processor LGD3-3'!$V$16</f>
        <v>0.2063360138042088</v>
      </c>
      <c r="E44" s="337">
        <f>'Processor LGD3-3'!$V$16</f>
        <v>0.2063360138042088</v>
      </c>
      <c r="F44" s="338">
        <f>'Processor LGD3-3'!$V$16</f>
        <v>0.2063360138042088</v>
      </c>
      <c r="G44" s="339">
        <f>'Processor LGD3-3'!$W$16</f>
        <v>0.3878507888253282</v>
      </c>
      <c r="H44" s="337">
        <f>'Processor LGD3-3'!$W$16</f>
        <v>0.3878507888253282</v>
      </c>
      <c r="I44" s="338">
        <f>'Processor LGD3-3'!$W$16</f>
        <v>0.3878507888253282</v>
      </c>
      <c r="J44" s="333">
        <f>'Processor LGD3-3'!$X$16</f>
        <v>0.82534405521683518</v>
      </c>
      <c r="K44" s="333">
        <f>'Processor LGD3-3'!$X$16</f>
        <v>0.82534405521683518</v>
      </c>
      <c r="L44" s="334">
        <f>'Processor LGD3-3'!$X$16</f>
        <v>0.82534405521683518</v>
      </c>
      <c r="M44" s="333">
        <f>'Processor LGD3-3'!$Y$16</f>
        <v>1.5514031553013128</v>
      </c>
      <c r="N44" s="333">
        <f>'Processor LGD3-3'!$Y$16</f>
        <v>1.5514031553013128</v>
      </c>
      <c r="O44" s="334">
        <f>'Processor LGD3-3'!$Y$16</f>
        <v>1.5514031553013128</v>
      </c>
    </row>
    <row r="45" spans="2:15" s="291" customFormat="1" x14ac:dyDescent="0.25"/>
    <row r="46" spans="2:15" s="291" customFormat="1" x14ac:dyDescent="0.25"/>
    <row r="47" spans="2:15" s="291" customFormat="1" x14ac:dyDescent="0.25">
      <c r="C47" s="308" t="s">
        <v>233</v>
      </c>
    </row>
    <row r="48" spans="2:15" s="291" customFormat="1" x14ac:dyDescent="0.25"/>
    <row r="49" spans="3:16" s="291" customFormat="1" x14ac:dyDescent="0.25">
      <c r="C49" s="393">
        <v>2017</v>
      </c>
      <c r="G49" s="396" t="s">
        <v>8</v>
      </c>
      <c r="H49" s="396"/>
      <c r="I49" s="396"/>
    </row>
    <row r="50" spans="3:16" s="291" customFormat="1" x14ac:dyDescent="0.25">
      <c r="C50" s="394"/>
      <c r="G50" s="309" t="s">
        <v>5</v>
      </c>
      <c r="H50" s="309" t="s">
        <v>6</v>
      </c>
      <c r="I50" s="309" t="s">
        <v>7</v>
      </c>
      <c r="J50" s="309" t="s">
        <v>156</v>
      </c>
    </row>
    <row r="51" spans="3:16" x14ac:dyDescent="0.25">
      <c r="C51" s="394"/>
      <c r="D51" s="291"/>
      <c r="E51" s="396" t="s">
        <v>9</v>
      </c>
      <c r="F51" s="309" t="s">
        <v>5</v>
      </c>
      <c r="G51" s="198">
        <v>0.9845766139586879</v>
      </c>
      <c r="H51" s="199">
        <v>1.468080839483224E-2</v>
      </c>
      <c r="I51" s="200">
        <v>7.4257764647988396E-4</v>
      </c>
      <c r="J51" s="310">
        <f>SUM(G51:I51)</f>
        <v>1</v>
      </c>
      <c r="K51" s="291"/>
      <c r="L51" s="291"/>
      <c r="M51" s="291"/>
      <c r="N51" s="291"/>
      <c r="O51" s="291"/>
    </row>
    <row r="52" spans="3:16" x14ac:dyDescent="0.25">
      <c r="C52" s="394"/>
      <c r="D52" s="291"/>
      <c r="E52" s="396"/>
      <c r="F52" s="309" t="s">
        <v>6</v>
      </c>
      <c r="G52" s="202">
        <v>0.31078438220297544</v>
      </c>
      <c r="H52" s="203">
        <v>0.63003771739889647</v>
      </c>
      <c r="I52" s="204">
        <v>5.9177900398128098E-2</v>
      </c>
      <c r="J52" s="311">
        <f>SUM(G52:I52)</f>
        <v>1</v>
      </c>
      <c r="K52" s="291"/>
      <c r="L52" s="291"/>
      <c r="M52" s="291"/>
      <c r="N52" s="291"/>
      <c r="O52" s="291"/>
    </row>
    <row r="53" spans="3:16" x14ac:dyDescent="0.25">
      <c r="C53" s="395"/>
      <c r="D53" s="291"/>
      <c r="E53" s="396"/>
      <c r="F53" s="309" t="s">
        <v>7</v>
      </c>
      <c r="G53" s="206">
        <v>0.02</v>
      </c>
      <c r="H53" s="207">
        <v>0.03</v>
      </c>
      <c r="I53" s="208">
        <v>0.95</v>
      </c>
      <c r="J53" s="312">
        <f>SUM(G53:I53)</f>
        <v>1</v>
      </c>
      <c r="K53" s="291"/>
      <c r="L53" s="291"/>
      <c r="M53" s="291"/>
      <c r="N53" s="291"/>
      <c r="O53" s="291"/>
    </row>
    <row r="54" spans="3:16" s="291" customFormat="1" x14ac:dyDescent="0.25">
      <c r="C54" s="298"/>
      <c r="E54" s="309"/>
      <c r="F54" s="309"/>
      <c r="G54" s="309"/>
      <c r="H54" s="309"/>
      <c r="I54" s="309"/>
      <c r="J54" s="309"/>
      <c r="K54" s="309"/>
    </row>
    <row r="55" spans="3:16" s="291" customFormat="1" x14ac:dyDescent="0.25">
      <c r="C55" s="298"/>
      <c r="E55" s="309"/>
      <c r="F55" s="309"/>
      <c r="G55" s="309"/>
      <c r="H55" s="309"/>
      <c r="I55" s="309"/>
      <c r="J55" s="309"/>
      <c r="K55" s="309"/>
    </row>
    <row r="56" spans="3:16" x14ac:dyDescent="0.25">
      <c r="C56" s="298"/>
      <c r="D56" s="291"/>
      <c r="E56" s="387" t="s">
        <v>0</v>
      </c>
      <c r="F56" s="388"/>
      <c r="G56" s="388"/>
      <c r="H56" s="388"/>
      <c r="I56" s="389"/>
      <c r="J56" s="313"/>
      <c r="K56" s="390" t="s">
        <v>1</v>
      </c>
      <c r="L56" s="391"/>
      <c r="M56" s="391"/>
      <c r="N56" s="391"/>
      <c r="O56" s="392"/>
    </row>
    <row r="57" spans="3:16" s="291" customFormat="1" x14ac:dyDescent="0.25"/>
    <row r="58" spans="3:16" s="291" customFormat="1" x14ac:dyDescent="0.25">
      <c r="C58" s="393">
        <v>2018</v>
      </c>
      <c r="G58" s="396" t="s">
        <v>8</v>
      </c>
      <c r="H58" s="396"/>
      <c r="I58" s="396"/>
      <c r="M58" s="396" t="s">
        <v>8</v>
      </c>
      <c r="N58" s="396"/>
      <c r="O58" s="396"/>
    </row>
    <row r="59" spans="3:16" s="291" customFormat="1" x14ac:dyDescent="0.25">
      <c r="C59" s="394"/>
      <c r="G59" s="309" t="s">
        <v>5</v>
      </c>
      <c r="H59" s="309" t="s">
        <v>6</v>
      </c>
      <c r="I59" s="309" t="s">
        <v>7</v>
      </c>
      <c r="M59" s="309" t="s">
        <v>5</v>
      </c>
      <c r="N59" s="309" t="s">
        <v>6</v>
      </c>
      <c r="O59" s="309" t="s">
        <v>7</v>
      </c>
    </row>
    <row r="60" spans="3:16" x14ac:dyDescent="0.25">
      <c r="C60" s="394"/>
      <c r="D60" s="291"/>
      <c r="E60" s="396" t="s">
        <v>9</v>
      </c>
      <c r="F60" s="309" t="s">
        <v>5</v>
      </c>
      <c r="G60" s="340">
        <f t="array" ref="G60:I60">'Processor TPs'!C38:E38</f>
        <v>0.98464870449225605</v>
      </c>
      <c r="H60" s="341">
        <v>1.4622396667510218E-2</v>
      </c>
      <c r="I60" s="342">
        <v>7.2889884023379775E-4</v>
      </c>
      <c r="J60" s="309"/>
      <c r="K60" s="396" t="s">
        <v>9</v>
      </c>
      <c r="L60" s="309" t="s">
        <v>5</v>
      </c>
      <c r="M60" s="340">
        <f t="array" ref="M60:O60">'Processor TPs'!C47:E47</f>
        <v>0.97742665662274153</v>
      </c>
      <c r="N60" s="341">
        <v>1.9751969392644113E-2</v>
      </c>
      <c r="O60" s="342">
        <v>2.8213739846143682E-3</v>
      </c>
      <c r="P60" s="309"/>
    </row>
    <row r="61" spans="3:16" x14ac:dyDescent="0.25">
      <c r="C61" s="394"/>
      <c r="D61" s="291"/>
      <c r="E61" s="396"/>
      <c r="F61" s="309" t="s">
        <v>6</v>
      </c>
      <c r="G61" s="343">
        <f t="array" ref="G61:I61">'Processor TPs'!F38:H38</f>
        <v>0.31184254093632119</v>
      </c>
      <c r="H61" s="323">
        <v>0.62961174848210988</v>
      </c>
      <c r="I61" s="344">
        <v>5.8545710581568947E-2</v>
      </c>
      <c r="J61" s="309"/>
      <c r="K61" s="396"/>
      <c r="L61" s="309" t="s">
        <v>6</v>
      </c>
      <c r="M61" s="343">
        <f t="array" ref="M61:O61">'Processor TPs'!F47:H47</f>
        <v>0.23535700241399479</v>
      </c>
      <c r="N61" s="323">
        <v>0.63998106873211236</v>
      </c>
      <c r="O61" s="344">
        <v>0.12466192885389298</v>
      </c>
      <c r="P61" s="309"/>
    </row>
    <row r="62" spans="3:16" x14ac:dyDescent="0.25">
      <c r="C62" s="395"/>
      <c r="D62" s="291"/>
      <c r="E62" s="396"/>
      <c r="F62" s="309" t="s">
        <v>7</v>
      </c>
      <c r="G62" s="316">
        <v>0</v>
      </c>
      <c r="H62" s="317">
        <v>0</v>
      </c>
      <c r="I62" s="318">
        <v>1</v>
      </c>
      <c r="J62" s="309"/>
      <c r="K62" s="396"/>
      <c r="L62" s="309" t="s">
        <v>7</v>
      </c>
      <c r="M62" s="316">
        <v>0</v>
      </c>
      <c r="N62" s="317">
        <v>0</v>
      </c>
      <c r="O62" s="318">
        <v>1</v>
      </c>
      <c r="P62" s="309"/>
    </row>
    <row r="63" spans="3:16" s="291" customFormat="1" x14ac:dyDescent="0.25">
      <c r="G63" s="309"/>
      <c r="H63" s="309"/>
      <c r="I63" s="309"/>
      <c r="J63" s="309"/>
      <c r="K63" s="309"/>
      <c r="L63" s="309"/>
      <c r="M63" s="309"/>
      <c r="N63" s="309"/>
      <c r="O63" s="309"/>
      <c r="P63" s="309"/>
    </row>
    <row r="64" spans="3:16" s="291" customFormat="1" x14ac:dyDescent="0.25">
      <c r="C64" s="393">
        <v>2019</v>
      </c>
      <c r="G64" s="396" t="s">
        <v>8</v>
      </c>
      <c r="H64" s="396"/>
      <c r="I64" s="396"/>
      <c r="J64" s="309"/>
      <c r="K64" s="309"/>
      <c r="L64" s="309"/>
      <c r="M64" s="396" t="s">
        <v>8</v>
      </c>
      <c r="N64" s="396"/>
      <c r="O64" s="396"/>
      <c r="P64" s="309"/>
    </row>
    <row r="65" spans="3:16" s="291" customFormat="1" x14ac:dyDescent="0.25">
      <c r="C65" s="394"/>
      <c r="G65" s="309" t="s">
        <v>5</v>
      </c>
      <c r="H65" s="309" t="s">
        <v>6</v>
      </c>
      <c r="I65" s="309" t="s">
        <v>7</v>
      </c>
      <c r="J65" s="309"/>
      <c r="K65" s="309"/>
      <c r="L65" s="309"/>
      <c r="M65" s="309" t="s">
        <v>5</v>
      </c>
      <c r="N65" s="309" t="s">
        <v>6</v>
      </c>
      <c r="O65" s="309" t="s">
        <v>7</v>
      </c>
      <c r="P65" s="309"/>
    </row>
    <row r="66" spans="3:16" x14ac:dyDescent="0.25">
      <c r="C66" s="394"/>
      <c r="D66" s="291"/>
      <c r="E66" s="396" t="s">
        <v>9</v>
      </c>
      <c r="F66" s="309" t="s">
        <v>5</v>
      </c>
      <c r="G66" s="340">
        <f t="array" ref="G66:I66">'Processor TPs'!C39:E39</f>
        <v>0.98454080352925522</v>
      </c>
      <c r="H66" s="341">
        <v>1.4709767511719743E-2</v>
      </c>
      <c r="I66" s="342">
        <v>7.4942895902508104E-4</v>
      </c>
      <c r="J66" s="309"/>
      <c r="K66" s="396" t="s">
        <v>9</v>
      </c>
      <c r="L66" s="309" t="s">
        <v>5</v>
      </c>
      <c r="M66" s="340">
        <f t="array" ref="M66:O66">'Processor TPs'!C48:E48</f>
        <v>0.9742548104773473</v>
      </c>
      <c r="N66" s="341">
        <v>2.160510209632335E-2</v>
      </c>
      <c r="O66" s="342">
        <v>4.1400874263293084E-3</v>
      </c>
      <c r="P66" s="309"/>
    </row>
    <row r="67" spans="3:16" x14ac:dyDescent="0.25">
      <c r="C67" s="394"/>
      <c r="D67" s="291"/>
      <c r="E67" s="396"/>
      <c r="F67" s="309" t="s">
        <v>6</v>
      </c>
      <c r="G67" s="343">
        <f t="array" ref="G67:I67">'Processor TPs'!F39:H39</f>
        <v>0.31026169220147304</v>
      </c>
      <c r="H67" s="323">
        <v>0.63024581296025683</v>
      </c>
      <c r="I67" s="344">
        <v>5.9492494838270175E-2</v>
      </c>
      <c r="J67" s="309"/>
      <c r="K67" s="396"/>
      <c r="L67" s="309" t="s">
        <v>6</v>
      </c>
      <c r="M67" s="343">
        <f t="array" ref="M67:O67">'Processor TPs'!F48:H48</f>
        <v>0.21414256646319382</v>
      </c>
      <c r="N67" s="323">
        <v>0.63307438922753556</v>
      </c>
      <c r="O67" s="344">
        <v>0.15278304430927062</v>
      </c>
      <c r="P67" s="309"/>
    </row>
    <row r="68" spans="3:16" x14ac:dyDescent="0.25">
      <c r="C68" s="395"/>
      <c r="D68" s="291"/>
      <c r="E68" s="396"/>
      <c r="F68" s="309" t="s">
        <v>7</v>
      </c>
      <c r="G68" s="316">
        <v>0</v>
      </c>
      <c r="H68" s="317">
        <v>0</v>
      </c>
      <c r="I68" s="318">
        <v>1</v>
      </c>
      <c r="J68" s="309"/>
      <c r="K68" s="396"/>
      <c r="L68" s="309" t="s">
        <v>7</v>
      </c>
      <c r="M68" s="316">
        <v>0</v>
      </c>
      <c r="N68" s="317">
        <v>0</v>
      </c>
      <c r="O68" s="318">
        <v>1</v>
      </c>
      <c r="P68" s="309"/>
    </row>
    <row r="69" spans="3:16" s="291" customFormat="1" x14ac:dyDescent="0.25">
      <c r="G69" s="309"/>
      <c r="H69" s="309"/>
      <c r="I69" s="309"/>
      <c r="J69" s="309"/>
      <c r="K69" s="309"/>
      <c r="L69" s="309"/>
      <c r="M69" s="309"/>
      <c r="N69" s="309"/>
      <c r="O69" s="309"/>
      <c r="P69" s="309"/>
    </row>
    <row r="70" spans="3:16" s="291" customFormat="1" x14ac:dyDescent="0.25">
      <c r="C70" s="393">
        <v>2020</v>
      </c>
      <c r="G70" s="396" t="s">
        <v>8</v>
      </c>
      <c r="H70" s="396"/>
      <c r="I70" s="396"/>
      <c r="J70" s="309"/>
      <c r="K70" s="309"/>
      <c r="L70" s="309"/>
      <c r="M70" s="396" t="s">
        <v>8</v>
      </c>
      <c r="N70" s="396"/>
      <c r="O70" s="396"/>
      <c r="P70" s="309"/>
    </row>
    <row r="71" spans="3:16" s="291" customFormat="1" x14ac:dyDescent="0.25">
      <c r="C71" s="394"/>
      <c r="G71" s="309" t="s">
        <v>5</v>
      </c>
      <c r="H71" s="309" t="s">
        <v>6</v>
      </c>
      <c r="I71" s="309" t="s">
        <v>7</v>
      </c>
      <c r="J71" s="309"/>
      <c r="K71" s="309"/>
      <c r="L71" s="309"/>
      <c r="M71" s="309" t="s">
        <v>5</v>
      </c>
      <c r="N71" s="309" t="s">
        <v>6</v>
      </c>
      <c r="O71" s="309" t="s">
        <v>7</v>
      </c>
      <c r="P71" s="309"/>
    </row>
    <row r="72" spans="3:16" x14ac:dyDescent="0.25">
      <c r="C72" s="394"/>
      <c r="D72" s="291"/>
      <c r="E72" s="396" t="s">
        <v>9</v>
      </c>
      <c r="F72" s="309" t="s">
        <v>5</v>
      </c>
      <c r="G72" s="340">
        <f t="array" ref="G72:I72">'Processor TPs'!C40:E40</f>
        <v>0.98450644555255618</v>
      </c>
      <c r="H72" s="341">
        <v>1.4737516818334052E-2</v>
      </c>
      <c r="I72" s="342">
        <v>7.560376291098406E-4</v>
      </c>
      <c r="J72" s="309"/>
      <c r="K72" s="396" t="s">
        <v>9</v>
      </c>
      <c r="L72" s="309" t="s">
        <v>5</v>
      </c>
      <c r="M72" s="340">
        <f t="array" ref="M72:O72">'Processor TPs'!C49:E49</f>
        <v>0.97318109847274969</v>
      </c>
      <c r="N72" s="341">
        <v>2.2188159708024416E-2</v>
      </c>
      <c r="O72" s="342">
        <v>4.6307418192259031E-3</v>
      </c>
      <c r="P72" s="309"/>
    </row>
    <row r="73" spans="3:16" x14ac:dyDescent="0.25">
      <c r="C73" s="394"/>
      <c r="D73" s="291"/>
      <c r="E73" s="396"/>
      <c r="F73" s="309" t="s">
        <v>6</v>
      </c>
      <c r="G73" s="343">
        <f t="array" ref="G73:I73">'Processor TPs'!F40:H40</f>
        <v>0.30976202663740071</v>
      </c>
      <c r="H73" s="323">
        <v>0.63044330082247935</v>
      </c>
      <c r="I73" s="344">
        <v>5.9794672540119928E-2</v>
      </c>
      <c r="J73" s="309"/>
      <c r="K73" s="396"/>
      <c r="L73" s="309" t="s">
        <v>6</v>
      </c>
      <c r="M73" s="343">
        <f t="array" ref="M73:O73">'Processor TPs'!F49:H49</f>
        <v>0.2080098135058773</v>
      </c>
      <c r="N73" s="323">
        <v>0.63001970017903419</v>
      </c>
      <c r="O73" s="344">
        <v>0.16197048631508851</v>
      </c>
      <c r="P73" s="309"/>
    </row>
    <row r="74" spans="3:16" x14ac:dyDescent="0.25">
      <c r="C74" s="395"/>
      <c r="D74" s="291"/>
      <c r="E74" s="396"/>
      <c r="F74" s="309" t="s">
        <v>7</v>
      </c>
      <c r="G74" s="316">
        <v>0</v>
      </c>
      <c r="H74" s="317">
        <v>0</v>
      </c>
      <c r="I74" s="318">
        <v>1</v>
      </c>
      <c r="J74" s="309"/>
      <c r="K74" s="396"/>
      <c r="L74" s="309" t="s">
        <v>7</v>
      </c>
      <c r="M74" s="316">
        <v>0</v>
      </c>
      <c r="N74" s="317">
        <v>0</v>
      </c>
      <c r="O74" s="318">
        <v>1</v>
      </c>
      <c r="P74" s="309"/>
    </row>
    <row r="75" spans="3:16" s="291" customFormat="1" x14ac:dyDescent="0.25">
      <c r="G75" s="309"/>
      <c r="H75" s="309"/>
      <c r="I75" s="309"/>
      <c r="J75" s="309"/>
      <c r="K75" s="309"/>
      <c r="L75" s="309"/>
      <c r="M75" s="309"/>
      <c r="N75" s="309"/>
      <c r="O75" s="309"/>
      <c r="P75" s="309"/>
    </row>
    <row r="76" spans="3:16" s="291" customFormat="1" x14ac:dyDescent="0.25"/>
    <row r="77" spans="3:16" s="291" customFormat="1" x14ac:dyDescent="0.25">
      <c r="C77" s="308" t="s">
        <v>234</v>
      </c>
    </row>
    <row r="78" spans="3:16" s="291" customFormat="1" x14ac:dyDescent="0.25"/>
    <row r="79" spans="3:16" s="291" customFormat="1" ht="17.25" x14ac:dyDescent="0.25">
      <c r="C79" s="291" t="s">
        <v>235</v>
      </c>
      <c r="D79" s="210">
        <v>30</v>
      </c>
      <c r="F79" s="320" t="s">
        <v>503</v>
      </c>
    </row>
    <row r="80" spans="3:16" s="291" customFormat="1" x14ac:dyDescent="0.25"/>
    <row r="81" spans="6:8" s="291" customFormat="1" x14ac:dyDescent="0.25">
      <c r="G81" s="321" t="s">
        <v>0</v>
      </c>
      <c r="H81" s="322" t="s">
        <v>1</v>
      </c>
    </row>
    <row r="82" spans="6:8" s="291" customFormat="1" x14ac:dyDescent="0.25">
      <c r="F82" s="313">
        <v>2018</v>
      </c>
      <c r="G82" s="323">
        <f>'Processor LT base S12'!P64</f>
        <v>8.2750224976125206E-2</v>
      </c>
      <c r="H82" s="323">
        <f>'Processor LT adverse S12'!P64</f>
        <v>0.20444727871671575</v>
      </c>
    </row>
    <row r="83" spans="6:8" s="291" customFormat="1" x14ac:dyDescent="0.25">
      <c r="F83" s="313">
        <v>2019</v>
      </c>
      <c r="G83" s="323">
        <f>'Processor LT base S12'!Q65</f>
        <v>7.8992886549910699E-2</v>
      </c>
      <c r="H83" s="323">
        <f>'Processor LT adverse S12'!Q65</f>
        <v>0.1889040763109098</v>
      </c>
    </row>
    <row r="84" spans="6:8" s="291" customFormat="1" x14ac:dyDescent="0.25">
      <c r="F84" s="313">
        <v>2020</v>
      </c>
      <c r="G84" s="323">
        <f>'Processor LT base S12'!R66</f>
        <v>7.4958901218292823E-2</v>
      </c>
      <c r="H84" s="323">
        <f>'Processor LT adverse S12'!R66</f>
        <v>0.16629824315558647</v>
      </c>
    </row>
    <row r="85" spans="6:8" s="291" customFormat="1" x14ac:dyDescent="0.25"/>
    <row r="86" spans="6:8" s="291" customFormat="1" ht="17.25" x14ac:dyDescent="0.25">
      <c r="F86" s="320" t="s">
        <v>502</v>
      </c>
    </row>
    <row r="87" spans="6:8" s="291" customFormat="1" x14ac:dyDescent="0.25"/>
    <row r="88" spans="6:8" s="291" customFormat="1" x14ac:dyDescent="0.25">
      <c r="G88" s="321" t="s">
        <v>0</v>
      </c>
      <c r="H88" s="322" t="s">
        <v>1</v>
      </c>
    </row>
    <row r="89" spans="6:8" s="291" customFormat="1" x14ac:dyDescent="0.25">
      <c r="F89" s="313">
        <v>2018</v>
      </c>
      <c r="G89" s="323">
        <f>'Processor LT base'!P64</f>
        <v>7.3113745806776514E-2</v>
      </c>
      <c r="H89" s="323">
        <f>'Processor LT adverse'!P64</f>
        <v>0.16451071745204932</v>
      </c>
    </row>
    <row r="90" spans="6:8" s="291" customFormat="1" x14ac:dyDescent="0.25">
      <c r="F90" s="313">
        <v>2019</v>
      </c>
      <c r="G90" s="323">
        <f>'Processor LT base'!Q65</f>
        <v>6.9200569033449358E-2</v>
      </c>
      <c r="H90" s="323">
        <f>'Processor LT adverse'!Q65</f>
        <v>0.13995866478586672</v>
      </c>
    </row>
    <row r="91" spans="6:8" s="291" customFormat="1" x14ac:dyDescent="0.25">
      <c r="F91" s="313">
        <v>2020</v>
      </c>
      <c r="G91" s="323">
        <f>'Processor LT base'!R66</f>
        <v>6.511684599943808E-2</v>
      </c>
      <c r="H91" s="323">
        <f>'Processor LT adverse'!R66</f>
        <v>0.11440955260458711</v>
      </c>
    </row>
    <row r="92" spans="6:8" s="291" customFormat="1" x14ac:dyDescent="0.25"/>
    <row r="93" spans="6:8" s="291" customFormat="1" ht="17.25" x14ac:dyDescent="0.25">
      <c r="F93" s="324" t="s">
        <v>243</v>
      </c>
    </row>
    <row r="94" spans="6:8" s="291" customFormat="1" x14ac:dyDescent="0.25">
      <c r="F94" s="325"/>
    </row>
    <row r="95" spans="6:8" s="291" customFormat="1" x14ac:dyDescent="0.25">
      <c r="G95" s="321" t="s">
        <v>0</v>
      </c>
      <c r="H95" s="322" t="s">
        <v>1</v>
      </c>
    </row>
    <row r="96" spans="6:8" s="291" customFormat="1" x14ac:dyDescent="0.25">
      <c r="F96" s="313">
        <v>2018</v>
      </c>
      <c r="G96" s="323">
        <f t="array" ref="G96:G98">TRANSPOSE(D44:F44)</f>
        <v>0.2063360138042088</v>
      </c>
      <c r="H96" s="323">
        <f t="array" ref="H96:H98">TRANSPOSE(G44:I44)</f>
        <v>0.3878507888253282</v>
      </c>
    </row>
    <row r="97" spans="6:8" s="291" customFormat="1" x14ac:dyDescent="0.25">
      <c r="F97" s="313">
        <v>2019</v>
      </c>
      <c r="G97" s="323">
        <v>0.2063360138042088</v>
      </c>
      <c r="H97" s="323">
        <v>0.3878507888253282</v>
      </c>
    </row>
    <row r="98" spans="6:8" s="291" customFormat="1" x14ac:dyDescent="0.25">
      <c r="F98" s="313">
        <v>2020</v>
      </c>
      <c r="G98" s="323">
        <v>0.2063360138042088</v>
      </c>
      <c r="H98" s="323">
        <v>0.3878507888253282</v>
      </c>
    </row>
    <row r="99" spans="6:8" s="291" customFormat="1" x14ac:dyDescent="0.25"/>
    <row r="100" spans="6:8" s="291" customFormat="1" x14ac:dyDescent="0.25"/>
    <row r="101" spans="6:8" s="291" customFormat="1" x14ac:dyDescent="0.25"/>
    <row r="102" spans="6:8" s="291" customFormat="1" x14ac:dyDescent="0.25"/>
    <row r="103" spans="6:8" s="291" customFormat="1" x14ac:dyDescent="0.25"/>
    <row r="104" spans="6:8" s="291" customFormat="1" x14ac:dyDescent="0.25"/>
    <row r="105" spans="6:8" s="291" customFormat="1" x14ac:dyDescent="0.25"/>
    <row r="106" spans="6:8" s="291" customFormat="1" x14ac:dyDescent="0.25"/>
    <row r="107" spans="6:8" s="291" customFormat="1" x14ac:dyDescent="0.25"/>
    <row r="108" spans="6:8" s="291" customFormat="1" x14ac:dyDescent="0.25"/>
    <row r="109" spans="6:8" s="291" customFormat="1" x14ac:dyDescent="0.25"/>
    <row r="110" spans="6:8" s="291" customFormat="1" x14ac:dyDescent="0.25"/>
    <row r="111" spans="6:8" s="291" customFormat="1" x14ac:dyDescent="0.25"/>
    <row r="112" spans="6:8" s="291" customFormat="1" x14ac:dyDescent="0.25"/>
    <row r="113" s="291" customFormat="1" x14ac:dyDescent="0.25"/>
    <row r="114" s="291" customFormat="1" x14ac:dyDescent="0.25"/>
    <row r="115" s="291" customFormat="1" x14ac:dyDescent="0.25"/>
    <row r="116" s="291" customFormat="1" x14ac:dyDescent="0.25"/>
    <row r="117" s="291" customFormat="1" x14ac:dyDescent="0.25"/>
    <row r="118" s="291" customFormat="1" x14ac:dyDescent="0.25"/>
    <row r="119" s="291" customFormat="1" x14ac:dyDescent="0.25"/>
    <row r="120" s="291" customFormat="1" x14ac:dyDescent="0.25"/>
    <row r="121" s="291" customFormat="1" x14ac:dyDescent="0.25"/>
    <row r="122" s="291" customFormat="1" x14ac:dyDescent="0.25"/>
    <row r="123" s="291" customFormat="1" x14ac:dyDescent="0.25"/>
    <row r="124" s="291" customFormat="1" x14ac:dyDescent="0.25"/>
    <row r="125" s="291" customFormat="1" x14ac:dyDescent="0.25"/>
    <row r="126" s="291" customFormat="1" x14ac:dyDescent="0.25"/>
    <row r="127" s="291" customFormat="1" x14ac:dyDescent="0.25"/>
    <row r="128" s="291" customFormat="1" x14ac:dyDescent="0.25"/>
    <row r="129" s="291" customFormat="1" x14ac:dyDescent="0.25"/>
    <row r="130" s="291" customFormat="1" x14ac:dyDescent="0.25"/>
    <row r="131" s="291" customFormat="1" x14ac:dyDescent="0.25"/>
    <row r="132" s="291" customFormat="1" x14ac:dyDescent="0.25"/>
    <row r="133" s="291" customFormat="1" x14ac:dyDescent="0.25"/>
    <row r="134" s="291" customFormat="1" x14ac:dyDescent="0.25"/>
    <row r="135" s="291" customFormat="1" x14ac:dyDescent="0.25"/>
    <row r="136" s="291" customFormat="1" x14ac:dyDescent="0.25"/>
    <row r="137" s="291" customFormat="1" x14ac:dyDescent="0.25"/>
    <row r="138" s="291" customFormat="1" x14ac:dyDescent="0.25"/>
    <row r="139" s="291" customFormat="1" x14ac:dyDescent="0.25"/>
    <row r="140" s="291" customFormat="1" x14ac:dyDescent="0.25"/>
    <row r="141" s="291" customFormat="1" x14ac:dyDescent="0.25"/>
    <row r="142" s="291" customFormat="1" x14ac:dyDescent="0.25"/>
    <row r="143" s="291" customFormat="1" x14ac:dyDescent="0.25"/>
    <row r="144" s="291" customFormat="1" x14ac:dyDescent="0.25"/>
    <row r="145" s="291" customFormat="1" x14ac:dyDescent="0.25"/>
    <row r="146" s="291" customFormat="1" x14ac:dyDescent="0.25"/>
    <row r="147" s="291" customFormat="1" x14ac:dyDescent="0.25"/>
    <row r="148" s="291" customFormat="1" x14ac:dyDescent="0.25"/>
    <row r="149" s="291" customFormat="1" x14ac:dyDescent="0.25"/>
    <row r="150" s="291" customFormat="1" x14ac:dyDescent="0.25"/>
    <row r="151" s="291" customFormat="1" x14ac:dyDescent="0.25"/>
    <row r="152" s="291" customFormat="1" x14ac:dyDescent="0.25"/>
  </sheetData>
  <sheetProtection password="F54F" sheet="1" objects="1" scenarios="1"/>
  <mergeCells count="50">
    <mergeCell ref="M70:O70"/>
    <mergeCell ref="K72:K74"/>
    <mergeCell ref="C21:C23"/>
    <mergeCell ref="D21:I21"/>
    <mergeCell ref="J21:O21"/>
    <mergeCell ref="D22:F22"/>
    <mergeCell ref="G22:I22"/>
    <mergeCell ref="J22:L22"/>
    <mergeCell ref="M22:O22"/>
    <mergeCell ref="M58:O58"/>
    <mergeCell ref="K60:K62"/>
    <mergeCell ref="E56:I56"/>
    <mergeCell ref="K56:O56"/>
    <mergeCell ref="G64:I64"/>
    <mergeCell ref="E66:E68"/>
    <mergeCell ref="M64:O64"/>
    <mergeCell ref="K66:K68"/>
    <mergeCell ref="G49:I49"/>
    <mergeCell ref="E51:E53"/>
    <mergeCell ref="C49:C53"/>
    <mergeCell ref="C58:C62"/>
    <mergeCell ref="C64:C68"/>
    <mergeCell ref="C70:C74"/>
    <mergeCell ref="G58:I58"/>
    <mergeCell ref="E60:E62"/>
    <mergeCell ref="G70:I70"/>
    <mergeCell ref="E72:E74"/>
    <mergeCell ref="C14:C16"/>
    <mergeCell ref="D14:I14"/>
    <mergeCell ref="J14:O14"/>
    <mergeCell ref="D15:F15"/>
    <mergeCell ref="G15:I15"/>
    <mergeCell ref="J15:L15"/>
    <mergeCell ref="M15:O15"/>
    <mergeCell ref="D9:E9"/>
    <mergeCell ref="D8:E8"/>
    <mergeCell ref="C39:C41"/>
    <mergeCell ref="D39:I39"/>
    <mergeCell ref="J39:O39"/>
    <mergeCell ref="D40:F40"/>
    <mergeCell ref="G40:I40"/>
    <mergeCell ref="J40:L40"/>
    <mergeCell ref="M40:O40"/>
    <mergeCell ref="C30:C32"/>
    <mergeCell ref="D30:I30"/>
    <mergeCell ref="J30:O30"/>
    <mergeCell ref="D31:F31"/>
    <mergeCell ref="G31:I31"/>
    <mergeCell ref="J31:L31"/>
    <mergeCell ref="M31:O31"/>
  </mergeCells>
  <conditionalFormatting sqref="J51:J53">
    <cfRule type="cellIs" dxfId="5" priority="1" operator="lessThan">
      <formula>1</formula>
    </cfRule>
    <cfRule type="cellIs" dxfId="4" priority="2" operator="greaterThan">
      <formula>1</formula>
    </cfRule>
  </conditionalFormatting>
  <pageMargins left="0.7" right="0.7" top="0.75" bottom="0.75" header="0.3" footer="0.3"/>
  <pageSetup paperSize="9" orientation="portrait" r:id="rId1"/>
  <ignoredErrors>
    <ignoredError sqref="G60:P78 G92:P92 I86:P91 G85:P85 I79:P84"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Lists!$C$4:$C$9</xm:f>
          </x14:formula1>
          <xm:sqref>C9</xm:sqref>
        </x14:dataValidation>
        <x14:dataValidation type="list" allowBlank="1" showInputMessage="1" showErrorMessage="1">
          <x14:formula1>
            <xm:f>Lists!$F$4:$F$48</xm:f>
          </x14:formula1>
          <xm:sqref>D9</xm:sqref>
        </x14:dataValidation>
        <x14:dataValidation type="list" allowBlank="1" showInputMessage="1" showErrorMessage="1">
          <x14:formula1>
            <xm:f>Lists!$I$4:$I$53</xm:f>
          </x14:formula1>
          <xm:sqref>D79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2:T71"/>
  <sheetViews>
    <sheetView zoomScale="85" zoomScaleNormal="85" workbookViewId="0">
      <selection activeCell="F9" sqref="F9"/>
    </sheetView>
  </sheetViews>
  <sheetFormatPr defaultRowHeight="15" x14ac:dyDescent="0.25"/>
  <cols>
    <col min="1" max="2" width="9.140625" style="292"/>
    <col min="3" max="3" width="27.140625" style="292" customWidth="1"/>
    <col min="4" max="16384" width="9.140625" style="292"/>
  </cols>
  <sheetData>
    <row r="2" spans="2:11" x14ac:dyDescent="0.25">
      <c r="B2" s="290"/>
      <c r="C2" s="291" t="s">
        <v>116</v>
      </c>
    </row>
    <row r="3" spans="2:11" x14ac:dyDescent="0.25">
      <c r="B3" s="293"/>
      <c r="C3" s="291" t="s">
        <v>117</v>
      </c>
    </row>
    <row r="4" spans="2:11" x14ac:dyDescent="0.25">
      <c r="B4" s="294"/>
      <c r="C4" s="291" t="s">
        <v>20</v>
      </c>
    </row>
    <row r="6" spans="2:11" x14ac:dyDescent="0.25">
      <c r="F6" s="397" t="s">
        <v>437</v>
      </c>
      <c r="G6" s="398"/>
      <c r="H6" s="398"/>
      <c r="I6" s="398"/>
      <c r="J6" s="398"/>
      <c r="K6" s="399"/>
    </row>
    <row r="7" spans="2:11" x14ac:dyDescent="0.25">
      <c r="F7" s="387" t="s">
        <v>0</v>
      </c>
      <c r="G7" s="388"/>
      <c r="H7" s="389"/>
      <c r="I7" s="390" t="s">
        <v>1</v>
      </c>
      <c r="J7" s="391"/>
      <c r="K7" s="392"/>
    </row>
    <row r="8" spans="2:11" x14ac:dyDescent="0.25">
      <c r="C8" s="381" t="s">
        <v>10</v>
      </c>
      <c r="D8" s="381"/>
      <c r="F8" s="295">
        <v>2018</v>
      </c>
      <c r="G8" s="296">
        <v>2019</v>
      </c>
      <c r="H8" s="297">
        <v>2020</v>
      </c>
      <c r="I8" s="298">
        <v>2018</v>
      </c>
      <c r="J8" s="298">
        <v>2019</v>
      </c>
      <c r="K8" s="299">
        <v>2020</v>
      </c>
    </row>
    <row r="9" spans="2:11" x14ac:dyDescent="0.25">
      <c r="C9" s="379" t="s">
        <v>36</v>
      </c>
      <c r="D9" s="380"/>
      <c r="F9" s="300">
        <f t="array" ref="F9:K9">'Processor PDs'!AA85:AF85</f>
        <v>1.0025928928291127E-4</v>
      </c>
      <c r="G9" s="301">
        <v>1.4760096923562428E-4</v>
      </c>
      <c r="H9" s="302">
        <v>1.5895234326395482E-4</v>
      </c>
      <c r="I9" s="303">
        <v>1.8136462317671067E-4</v>
      </c>
      <c r="J9" s="301">
        <v>1.7996587217477162E-4</v>
      </c>
      <c r="K9" s="302">
        <v>1.8925654015125337E-4</v>
      </c>
    </row>
    <row r="12" spans="2:11" x14ac:dyDescent="0.25">
      <c r="F12" s="397" t="s">
        <v>438</v>
      </c>
      <c r="G12" s="398"/>
      <c r="H12" s="398"/>
      <c r="I12" s="398"/>
      <c r="J12" s="398"/>
      <c r="K12" s="399"/>
    </row>
    <row r="13" spans="2:11" x14ac:dyDescent="0.25">
      <c r="F13" s="387" t="s">
        <v>0</v>
      </c>
      <c r="G13" s="388"/>
      <c r="H13" s="389"/>
      <c r="I13" s="390" t="s">
        <v>1</v>
      </c>
      <c r="J13" s="391"/>
      <c r="K13" s="392"/>
    </row>
    <row r="14" spans="2:11" x14ac:dyDescent="0.25">
      <c r="F14" s="295">
        <v>2018</v>
      </c>
      <c r="G14" s="296">
        <v>2019</v>
      </c>
      <c r="H14" s="297">
        <v>2020</v>
      </c>
      <c r="I14" s="298">
        <v>2018</v>
      </c>
      <c r="J14" s="298">
        <v>2019</v>
      </c>
      <c r="K14" s="299">
        <v>2020</v>
      </c>
    </row>
    <row r="15" spans="2:11" x14ac:dyDescent="0.25">
      <c r="F15" s="304">
        <v>0.4</v>
      </c>
      <c r="G15" s="305">
        <v>0.4</v>
      </c>
      <c r="H15" s="306">
        <v>0.4</v>
      </c>
      <c r="I15" s="307">
        <v>0.4</v>
      </c>
      <c r="J15" s="305">
        <v>0.4</v>
      </c>
      <c r="K15" s="306">
        <v>0.4</v>
      </c>
    </row>
    <row r="19" spans="3:20" x14ac:dyDescent="0.25">
      <c r="C19" s="308" t="s">
        <v>233</v>
      </c>
      <c r="D19" s="291"/>
      <c r="E19" s="291"/>
      <c r="F19" s="291"/>
      <c r="G19" s="291"/>
      <c r="H19" s="291"/>
      <c r="I19" s="291"/>
      <c r="J19" s="291"/>
      <c r="K19" s="291"/>
      <c r="L19" s="291"/>
      <c r="M19" s="291"/>
      <c r="N19" s="291"/>
      <c r="O19" s="291"/>
    </row>
    <row r="20" spans="3:20" x14ac:dyDescent="0.25">
      <c r="C20" s="291"/>
      <c r="D20" s="291"/>
      <c r="E20" s="291"/>
      <c r="F20" s="291"/>
      <c r="G20" s="291"/>
      <c r="H20" s="291"/>
      <c r="I20" s="291"/>
      <c r="J20" s="291"/>
      <c r="K20" s="291"/>
      <c r="L20" s="291"/>
      <c r="M20" s="291"/>
      <c r="N20" s="291"/>
      <c r="O20" s="291"/>
    </row>
    <row r="21" spans="3:20" x14ac:dyDescent="0.25">
      <c r="C21" s="393">
        <v>2017</v>
      </c>
      <c r="D21" s="291"/>
      <c r="E21" s="291"/>
      <c r="F21" s="291"/>
      <c r="G21" s="396" t="s">
        <v>8</v>
      </c>
      <c r="H21" s="396"/>
      <c r="I21" s="396"/>
      <c r="J21" s="291"/>
      <c r="K21" s="291"/>
      <c r="L21" s="291"/>
      <c r="M21" s="291"/>
      <c r="N21" s="291"/>
      <c r="O21" s="291"/>
    </row>
    <row r="22" spans="3:20" x14ac:dyDescent="0.25">
      <c r="C22" s="394"/>
      <c r="D22" s="291"/>
      <c r="E22" s="291"/>
      <c r="F22" s="291"/>
      <c r="G22" s="309" t="s">
        <v>5</v>
      </c>
      <c r="H22" s="309" t="s">
        <v>6</v>
      </c>
      <c r="I22" s="309" t="s">
        <v>7</v>
      </c>
      <c r="J22" s="309" t="s">
        <v>156</v>
      </c>
      <c r="K22" s="291"/>
      <c r="L22" s="291"/>
      <c r="M22" s="291"/>
      <c r="N22" s="291"/>
      <c r="O22" s="291"/>
    </row>
    <row r="23" spans="3:20" x14ac:dyDescent="0.25">
      <c r="C23" s="394"/>
      <c r="D23" s="291"/>
      <c r="E23" s="396" t="s">
        <v>9</v>
      </c>
      <c r="F23" s="309" t="s">
        <v>5</v>
      </c>
      <c r="G23" s="198">
        <v>0.9845766139586879</v>
      </c>
      <c r="H23" s="199">
        <v>1.468080839483224E-2</v>
      </c>
      <c r="I23" s="200">
        <v>7.4257764647988396E-4</v>
      </c>
      <c r="J23" s="310">
        <f>SUM(G23:I23)</f>
        <v>1</v>
      </c>
      <c r="K23" s="291"/>
      <c r="L23" s="291"/>
      <c r="M23" s="291"/>
      <c r="N23" s="291"/>
      <c r="O23" s="291"/>
    </row>
    <row r="24" spans="3:20" x14ac:dyDescent="0.25">
      <c r="C24" s="394"/>
      <c r="D24" s="291"/>
      <c r="E24" s="396"/>
      <c r="F24" s="309" t="s">
        <v>6</v>
      </c>
      <c r="G24" s="202">
        <v>0.31078438220297544</v>
      </c>
      <c r="H24" s="203">
        <v>0.63003771739889647</v>
      </c>
      <c r="I24" s="204">
        <v>5.9177900398128098E-2</v>
      </c>
      <c r="J24" s="311">
        <f>SUM(G24:I24)</f>
        <v>1</v>
      </c>
      <c r="K24" s="291"/>
      <c r="L24" s="291"/>
      <c r="M24" s="291"/>
      <c r="N24" s="291"/>
      <c r="O24" s="291"/>
    </row>
    <row r="25" spans="3:20" x14ac:dyDescent="0.25">
      <c r="C25" s="395"/>
      <c r="D25" s="291"/>
      <c r="E25" s="396"/>
      <c r="F25" s="309" t="s">
        <v>7</v>
      </c>
      <c r="G25" s="206">
        <v>0.02</v>
      </c>
      <c r="H25" s="207">
        <v>0.03</v>
      </c>
      <c r="I25" s="208">
        <v>0.95</v>
      </c>
      <c r="J25" s="312">
        <f>SUM(G25:I25)</f>
        <v>1</v>
      </c>
      <c r="K25" s="291"/>
      <c r="L25" s="291"/>
      <c r="M25" s="291"/>
      <c r="N25" s="291"/>
      <c r="O25" s="291"/>
    </row>
    <row r="26" spans="3:20" x14ac:dyDescent="0.25">
      <c r="C26" s="298"/>
      <c r="D26" s="291"/>
      <c r="E26" s="309"/>
      <c r="F26" s="309"/>
      <c r="G26" s="309"/>
      <c r="H26" s="309"/>
      <c r="I26" s="309"/>
      <c r="J26" s="309"/>
      <c r="K26" s="309"/>
      <c r="L26" s="291"/>
      <c r="M26" s="291"/>
      <c r="N26" s="291"/>
      <c r="O26" s="291"/>
    </row>
    <row r="27" spans="3:20" x14ac:dyDescent="0.25">
      <c r="C27" s="298"/>
      <c r="D27" s="291"/>
      <c r="E27" s="309"/>
      <c r="F27" s="309"/>
      <c r="G27" s="309"/>
      <c r="H27" s="309"/>
      <c r="I27" s="309"/>
      <c r="J27" s="309"/>
      <c r="K27" s="309"/>
      <c r="L27" s="291"/>
      <c r="M27" s="291"/>
      <c r="N27" s="291"/>
      <c r="O27" s="291"/>
    </row>
    <row r="28" spans="3:20" x14ac:dyDescent="0.25">
      <c r="C28" s="298"/>
      <c r="D28" s="291"/>
      <c r="E28" s="387" t="s">
        <v>0</v>
      </c>
      <c r="F28" s="388"/>
      <c r="G28" s="388"/>
      <c r="H28" s="388"/>
      <c r="I28" s="389"/>
      <c r="J28" s="313"/>
      <c r="K28" s="390" t="s">
        <v>1</v>
      </c>
      <c r="L28" s="391"/>
      <c r="M28" s="391"/>
      <c r="N28" s="391"/>
      <c r="O28" s="392"/>
    </row>
    <row r="29" spans="3:20" x14ac:dyDescent="0.25">
      <c r="C29" s="291"/>
      <c r="D29" s="291"/>
      <c r="E29" s="291"/>
      <c r="F29" s="291"/>
      <c r="G29" s="291"/>
      <c r="H29" s="291"/>
      <c r="I29" s="291"/>
      <c r="J29" s="291"/>
      <c r="K29" s="291"/>
      <c r="L29" s="291"/>
      <c r="M29" s="291"/>
      <c r="N29" s="291"/>
      <c r="O29" s="291"/>
    </row>
    <row r="30" spans="3:20" x14ac:dyDescent="0.25">
      <c r="C30" s="393">
        <v>2018</v>
      </c>
      <c r="D30" s="291"/>
      <c r="E30" s="291"/>
      <c r="F30" s="291"/>
      <c r="G30" s="396" t="s">
        <v>8</v>
      </c>
      <c r="H30" s="396"/>
      <c r="I30" s="396"/>
      <c r="J30" s="291"/>
      <c r="K30" s="291"/>
      <c r="L30" s="291"/>
      <c r="M30" s="396" t="s">
        <v>8</v>
      </c>
      <c r="N30" s="396"/>
      <c r="O30" s="396"/>
    </row>
    <row r="31" spans="3:20" x14ac:dyDescent="0.25">
      <c r="C31" s="394"/>
      <c r="D31" s="291"/>
      <c r="E31" s="291"/>
      <c r="F31" s="291"/>
      <c r="G31" s="309" t="s">
        <v>5</v>
      </c>
      <c r="H31" s="309" t="s">
        <v>6</v>
      </c>
      <c r="I31" s="309" t="s">
        <v>7</v>
      </c>
      <c r="J31" s="291"/>
      <c r="K31" s="291"/>
      <c r="L31" s="291"/>
      <c r="M31" s="309" t="s">
        <v>5</v>
      </c>
      <c r="N31" s="309" t="s">
        <v>6</v>
      </c>
      <c r="O31" s="309" t="s">
        <v>7</v>
      </c>
    </row>
    <row r="32" spans="3:20" x14ac:dyDescent="0.25">
      <c r="C32" s="394"/>
      <c r="D32" s="291"/>
      <c r="E32" s="396" t="s">
        <v>9</v>
      </c>
      <c r="F32" s="309" t="s">
        <v>5</v>
      </c>
      <c r="G32" s="246">
        <v>0.9845766139586879</v>
      </c>
      <c r="H32" s="247">
        <v>1.468080839483224E-2</v>
      </c>
      <c r="I32" s="248">
        <v>7.4257764647988396E-4</v>
      </c>
      <c r="J32" s="314">
        <f>SUM(G32:I32)</f>
        <v>1</v>
      </c>
      <c r="K32" s="396" t="s">
        <v>9</v>
      </c>
      <c r="L32" s="309" t="s">
        <v>5</v>
      </c>
      <c r="M32" s="246">
        <v>0.9845766139586879</v>
      </c>
      <c r="N32" s="247">
        <v>1.468080839483224E-2</v>
      </c>
      <c r="O32" s="248">
        <v>7.4257764647988396E-4</v>
      </c>
      <c r="P32" s="314">
        <f>SUM(M32:O32)</f>
        <v>1</v>
      </c>
      <c r="T32" s="315"/>
    </row>
    <row r="33" spans="3:16" x14ac:dyDescent="0.25">
      <c r="C33" s="394"/>
      <c r="D33" s="291"/>
      <c r="E33" s="396"/>
      <c r="F33" s="309" t="s">
        <v>6</v>
      </c>
      <c r="G33" s="202">
        <v>0.31078438220297544</v>
      </c>
      <c r="H33" s="203">
        <v>0.63003771739889647</v>
      </c>
      <c r="I33" s="204">
        <v>5.9177900398128098E-2</v>
      </c>
      <c r="J33" s="314">
        <f t="shared" ref="J33:J34" si="0">SUM(G33:I33)</f>
        <v>1</v>
      </c>
      <c r="K33" s="396"/>
      <c r="L33" s="309" t="s">
        <v>6</v>
      </c>
      <c r="M33" s="202">
        <v>0.31078438220297544</v>
      </c>
      <c r="N33" s="203">
        <v>0.63003771739889647</v>
      </c>
      <c r="O33" s="204">
        <v>5.9177900398128098E-2</v>
      </c>
      <c r="P33" s="314">
        <f t="shared" ref="P33:P34" si="1">SUM(M33:O33)</f>
        <v>1</v>
      </c>
    </row>
    <row r="34" spans="3:16" x14ac:dyDescent="0.25">
      <c r="C34" s="395"/>
      <c r="D34" s="291"/>
      <c r="E34" s="396"/>
      <c r="F34" s="309" t="s">
        <v>7</v>
      </c>
      <c r="G34" s="316">
        <v>0</v>
      </c>
      <c r="H34" s="317">
        <v>0</v>
      </c>
      <c r="I34" s="318">
        <v>1</v>
      </c>
      <c r="J34" s="314">
        <f t="shared" si="0"/>
        <v>1</v>
      </c>
      <c r="K34" s="396"/>
      <c r="L34" s="309" t="s">
        <v>7</v>
      </c>
      <c r="M34" s="316">
        <v>0</v>
      </c>
      <c r="N34" s="317">
        <v>0</v>
      </c>
      <c r="O34" s="318">
        <v>1</v>
      </c>
      <c r="P34" s="314">
        <f t="shared" si="1"/>
        <v>1</v>
      </c>
    </row>
    <row r="35" spans="3:16" x14ac:dyDescent="0.25">
      <c r="C35" s="291"/>
      <c r="D35" s="291"/>
      <c r="E35" s="291"/>
      <c r="F35" s="291"/>
      <c r="G35" s="309"/>
      <c r="H35" s="309"/>
      <c r="I35" s="309"/>
      <c r="J35" s="309"/>
      <c r="K35" s="309"/>
      <c r="L35" s="309"/>
      <c r="M35" s="309"/>
      <c r="N35" s="309"/>
      <c r="O35" s="309"/>
    </row>
    <row r="36" spans="3:16" x14ac:dyDescent="0.25">
      <c r="C36" s="393">
        <v>2019</v>
      </c>
      <c r="D36" s="291"/>
      <c r="E36" s="291"/>
      <c r="F36" s="291"/>
      <c r="G36" s="396" t="s">
        <v>8</v>
      </c>
      <c r="H36" s="396"/>
      <c r="I36" s="396"/>
      <c r="J36" s="309"/>
      <c r="K36" s="309"/>
      <c r="L36" s="309"/>
      <c r="M36" s="396" t="s">
        <v>8</v>
      </c>
      <c r="N36" s="396"/>
      <c r="O36" s="396"/>
    </row>
    <row r="37" spans="3:16" x14ac:dyDescent="0.25">
      <c r="C37" s="394"/>
      <c r="D37" s="291"/>
      <c r="E37" s="291"/>
      <c r="F37" s="291"/>
      <c r="G37" s="309" t="s">
        <v>5</v>
      </c>
      <c r="H37" s="309" t="s">
        <v>6</v>
      </c>
      <c r="I37" s="309" t="s">
        <v>7</v>
      </c>
      <c r="J37" s="309"/>
      <c r="K37" s="309"/>
      <c r="L37" s="309"/>
      <c r="M37" s="309" t="s">
        <v>5</v>
      </c>
      <c r="N37" s="309" t="s">
        <v>6</v>
      </c>
      <c r="O37" s="309" t="s">
        <v>7</v>
      </c>
    </row>
    <row r="38" spans="3:16" x14ac:dyDescent="0.25">
      <c r="C38" s="394"/>
      <c r="D38" s="291"/>
      <c r="E38" s="396" t="s">
        <v>9</v>
      </c>
      <c r="F38" s="309" t="s">
        <v>5</v>
      </c>
      <c r="G38" s="246">
        <v>0.9845766139586879</v>
      </c>
      <c r="H38" s="247">
        <v>1.468080839483224E-2</v>
      </c>
      <c r="I38" s="248">
        <v>7.4257764647988396E-4</v>
      </c>
      <c r="J38" s="314">
        <f>SUM(G38:I38)</f>
        <v>1</v>
      </c>
      <c r="K38" s="396" t="s">
        <v>9</v>
      </c>
      <c r="L38" s="309" t="s">
        <v>5</v>
      </c>
      <c r="M38" s="246">
        <v>0.9845766139586879</v>
      </c>
      <c r="N38" s="247">
        <v>1.468080839483224E-2</v>
      </c>
      <c r="O38" s="248">
        <v>7.4257764647988396E-4</v>
      </c>
      <c r="P38" s="314">
        <f>SUM(M38:O38)</f>
        <v>1</v>
      </c>
    </row>
    <row r="39" spans="3:16" x14ac:dyDescent="0.25">
      <c r="C39" s="394"/>
      <c r="D39" s="291"/>
      <c r="E39" s="396"/>
      <c r="F39" s="309" t="s">
        <v>6</v>
      </c>
      <c r="G39" s="202">
        <v>0.31078438220297544</v>
      </c>
      <c r="H39" s="203">
        <v>0.63003771739889647</v>
      </c>
      <c r="I39" s="204">
        <v>5.9177900398128098E-2</v>
      </c>
      <c r="J39" s="314">
        <f t="shared" ref="J39:J40" si="2">SUM(G39:I39)</f>
        <v>1</v>
      </c>
      <c r="K39" s="396"/>
      <c r="L39" s="309" t="s">
        <v>6</v>
      </c>
      <c r="M39" s="202">
        <v>0.31078438220297544</v>
      </c>
      <c r="N39" s="203">
        <v>0.63003771739889647</v>
      </c>
      <c r="O39" s="204">
        <v>5.9177900398128098E-2</v>
      </c>
      <c r="P39" s="314">
        <f t="shared" ref="P39:P40" si="3">SUM(M39:O39)</f>
        <v>1</v>
      </c>
    </row>
    <row r="40" spans="3:16" x14ac:dyDescent="0.25">
      <c r="C40" s="395"/>
      <c r="D40" s="291"/>
      <c r="E40" s="396"/>
      <c r="F40" s="309" t="s">
        <v>7</v>
      </c>
      <c r="G40" s="316">
        <v>0</v>
      </c>
      <c r="H40" s="317">
        <v>0</v>
      </c>
      <c r="I40" s="318">
        <v>1</v>
      </c>
      <c r="J40" s="314">
        <f t="shared" si="2"/>
        <v>1</v>
      </c>
      <c r="K40" s="396"/>
      <c r="L40" s="309" t="s">
        <v>7</v>
      </c>
      <c r="M40" s="316">
        <v>0</v>
      </c>
      <c r="N40" s="317">
        <v>0</v>
      </c>
      <c r="O40" s="318">
        <v>1</v>
      </c>
      <c r="P40" s="314">
        <f t="shared" si="3"/>
        <v>1</v>
      </c>
    </row>
    <row r="41" spans="3:16" x14ac:dyDescent="0.25">
      <c r="C41" s="291"/>
      <c r="D41" s="291"/>
      <c r="E41" s="291"/>
      <c r="F41" s="291"/>
      <c r="G41" s="309"/>
      <c r="H41" s="309"/>
      <c r="I41" s="309"/>
      <c r="J41" s="309"/>
      <c r="K41" s="309"/>
      <c r="L41" s="309"/>
      <c r="M41" s="309"/>
      <c r="N41" s="309"/>
      <c r="O41" s="309"/>
    </row>
    <row r="42" spans="3:16" x14ac:dyDescent="0.25">
      <c r="C42" s="393">
        <v>2020</v>
      </c>
      <c r="D42" s="291"/>
      <c r="E42" s="291"/>
      <c r="F42" s="291"/>
      <c r="G42" s="396" t="s">
        <v>8</v>
      </c>
      <c r="H42" s="396"/>
      <c r="I42" s="396"/>
      <c r="J42" s="309"/>
      <c r="K42" s="309"/>
      <c r="L42" s="309"/>
      <c r="M42" s="396" t="s">
        <v>8</v>
      </c>
      <c r="N42" s="396"/>
      <c r="O42" s="396"/>
    </row>
    <row r="43" spans="3:16" x14ac:dyDescent="0.25">
      <c r="C43" s="394"/>
      <c r="D43" s="291"/>
      <c r="E43" s="291"/>
      <c r="F43" s="291"/>
      <c r="G43" s="309" t="s">
        <v>5</v>
      </c>
      <c r="H43" s="309" t="s">
        <v>6</v>
      </c>
      <c r="I43" s="309" t="s">
        <v>7</v>
      </c>
      <c r="J43" s="309"/>
      <c r="K43" s="309"/>
      <c r="L43" s="309"/>
      <c r="M43" s="309" t="s">
        <v>5</v>
      </c>
      <c r="N43" s="309" t="s">
        <v>6</v>
      </c>
      <c r="O43" s="309" t="s">
        <v>7</v>
      </c>
    </row>
    <row r="44" spans="3:16" x14ac:dyDescent="0.25">
      <c r="C44" s="394"/>
      <c r="D44" s="291"/>
      <c r="E44" s="396" t="s">
        <v>9</v>
      </c>
      <c r="F44" s="309" t="s">
        <v>5</v>
      </c>
      <c r="G44" s="246">
        <v>0.9845766139586879</v>
      </c>
      <c r="H44" s="247">
        <v>1.468080839483224E-2</v>
      </c>
      <c r="I44" s="248">
        <v>7.4257764647988396E-4</v>
      </c>
      <c r="J44" s="314">
        <f>SUM(G44:I44)</f>
        <v>1</v>
      </c>
      <c r="K44" s="396" t="s">
        <v>9</v>
      </c>
      <c r="L44" s="309" t="s">
        <v>5</v>
      </c>
      <c r="M44" s="246">
        <v>0.9845766139586879</v>
      </c>
      <c r="N44" s="247">
        <v>1.468080839483224E-2</v>
      </c>
      <c r="O44" s="248">
        <v>7.4257764647988396E-4</v>
      </c>
      <c r="P44" s="314">
        <f>SUM(M44:O44)</f>
        <v>1</v>
      </c>
    </row>
    <row r="45" spans="3:16" x14ac:dyDescent="0.25">
      <c r="C45" s="394"/>
      <c r="D45" s="291"/>
      <c r="E45" s="396"/>
      <c r="F45" s="309" t="s">
        <v>6</v>
      </c>
      <c r="G45" s="202">
        <v>0.31078438220297544</v>
      </c>
      <c r="H45" s="203">
        <v>0.63003771739889647</v>
      </c>
      <c r="I45" s="204">
        <v>5.9177900398128098E-2</v>
      </c>
      <c r="J45" s="314">
        <f t="shared" ref="J45:J46" si="4">SUM(G45:I45)</f>
        <v>1</v>
      </c>
      <c r="K45" s="396"/>
      <c r="L45" s="309" t="s">
        <v>6</v>
      </c>
      <c r="M45" s="202">
        <v>0.31078438220297544</v>
      </c>
      <c r="N45" s="203">
        <v>0.63003771739889647</v>
      </c>
      <c r="O45" s="204">
        <v>5.9177900398128098E-2</v>
      </c>
      <c r="P45" s="314">
        <f t="shared" ref="P45:P46" si="5">SUM(M45:O45)</f>
        <v>1</v>
      </c>
    </row>
    <row r="46" spans="3:16" x14ac:dyDescent="0.25">
      <c r="C46" s="395"/>
      <c r="D46" s="291"/>
      <c r="E46" s="396"/>
      <c r="F46" s="309" t="s">
        <v>7</v>
      </c>
      <c r="G46" s="316">
        <v>0</v>
      </c>
      <c r="H46" s="317">
        <v>0</v>
      </c>
      <c r="I46" s="318">
        <v>1</v>
      </c>
      <c r="J46" s="314">
        <f t="shared" si="4"/>
        <v>1</v>
      </c>
      <c r="K46" s="396"/>
      <c r="L46" s="309" t="s">
        <v>7</v>
      </c>
      <c r="M46" s="316">
        <v>0</v>
      </c>
      <c r="N46" s="317">
        <v>0</v>
      </c>
      <c r="O46" s="318">
        <v>1</v>
      </c>
      <c r="P46" s="314">
        <f t="shared" si="5"/>
        <v>1</v>
      </c>
    </row>
    <row r="50" spans="3:8" x14ac:dyDescent="0.25">
      <c r="C50" s="319" t="s">
        <v>234</v>
      </c>
      <c r="D50" s="291"/>
      <c r="E50" s="291"/>
      <c r="F50" s="291"/>
      <c r="G50" s="291"/>
      <c r="H50" s="291"/>
    </row>
    <row r="51" spans="3:8" x14ac:dyDescent="0.25">
      <c r="C51" s="291"/>
      <c r="D51" s="291"/>
      <c r="E51" s="291"/>
      <c r="F51" s="291"/>
      <c r="G51" s="291"/>
      <c r="H51" s="291"/>
    </row>
    <row r="52" spans="3:8" ht="17.25" x14ac:dyDescent="0.25">
      <c r="C52" s="291" t="s">
        <v>235</v>
      </c>
      <c r="D52" s="210">
        <v>5</v>
      </c>
      <c r="E52" s="291"/>
      <c r="F52" s="320" t="s">
        <v>503</v>
      </c>
      <c r="G52" s="291"/>
      <c r="H52" s="291"/>
    </row>
    <row r="53" spans="3:8" x14ac:dyDescent="0.25">
      <c r="C53" s="291"/>
      <c r="D53" s="291"/>
      <c r="E53" s="291"/>
      <c r="F53" s="291"/>
      <c r="G53" s="291"/>
      <c r="H53" s="291"/>
    </row>
    <row r="54" spans="3:8" x14ac:dyDescent="0.25">
      <c r="C54" s="291"/>
      <c r="D54" s="291"/>
      <c r="E54" s="291"/>
      <c r="F54" s="291"/>
      <c r="G54" s="321" t="s">
        <v>0</v>
      </c>
      <c r="H54" s="322" t="s">
        <v>1</v>
      </c>
    </row>
    <row r="55" spans="3:8" x14ac:dyDescent="0.25">
      <c r="C55" s="291"/>
      <c r="D55" s="291"/>
      <c r="E55" s="291"/>
      <c r="F55" s="313">
        <v>2018</v>
      </c>
      <c r="G55" s="323">
        <f>'Processor LT base (sov) S12'!P64</f>
        <v>9.1242958335850374E-2</v>
      </c>
      <c r="H55" s="323">
        <f>'Processor LT adverse (sov) S12'!P64</f>
        <v>9.1242958335850374E-2</v>
      </c>
    </row>
    <row r="56" spans="3:8" x14ac:dyDescent="0.25">
      <c r="C56" s="291"/>
      <c r="D56" s="291"/>
      <c r="E56" s="291"/>
      <c r="F56" s="313">
        <v>2019</v>
      </c>
      <c r="G56" s="323">
        <f>'Processor LT base (sov) S12'!Q65</f>
        <v>7.7715730800172064E-2</v>
      </c>
      <c r="H56" s="323">
        <f>'Processor LT adverse (sov) S12'!Q65</f>
        <v>7.7715730800172064E-2</v>
      </c>
    </row>
    <row r="57" spans="3:8" x14ac:dyDescent="0.25">
      <c r="C57" s="291"/>
      <c r="D57" s="291"/>
      <c r="E57" s="291"/>
      <c r="F57" s="313">
        <v>2020</v>
      </c>
      <c r="G57" s="323">
        <f>'Processor LT base (sov) S12'!R66</f>
        <v>6.3814509532723745E-2</v>
      </c>
      <c r="H57" s="323">
        <f>'Processor LT adverse (sov) S12'!R66</f>
        <v>6.3814509532723745E-2</v>
      </c>
    </row>
    <row r="58" spans="3:8" x14ac:dyDescent="0.25">
      <c r="C58" s="291"/>
      <c r="D58" s="291"/>
      <c r="E58" s="291"/>
    </row>
    <row r="59" spans="3:8" ht="17.25" x14ac:dyDescent="0.25">
      <c r="C59" s="291"/>
      <c r="D59" s="291"/>
      <c r="E59" s="291"/>
      <c r="F59" s="320" t="s">
        <v>502</v>
      </c>
      <c r="G59" s="291"/>
      <c r="H59" s="291"/>
    </row>
    <row r="60" spans="3:8" x14ac:dyDescent="0.25">
      <c r="C60" s="291"/>
      <c r="D60" s="291"/>
      <c r="E60" s="291"/>
      <c r="F60" s="291"/>
      <c r="G60" s="291"/>
      <c r="H60" s="291"/>
    </row>
    <row r="61" spans="3:8" x14ac:dyDescent="0.25">
      <c r="C61" s="291"/>
      <c r="D61" s="291"/>
      <c r="E61" s="291"/>
      <c r="F61" s="291"/>
      <c r="G61" s="321" t="s">
        <v>0</v>
      </c>
      <c r="H61" s="322" t="s">
        <v>1</v>
      </c>
    </row>
    <row r="62" spans="3:8" x14ac:dyDescent="0.25">
      <c r="C62" s="291"/>
      <c r="D62" s="291"/>
      <c r="E62" s="291"/>
      <c r="F62" s="313">
        <v>2018</v>
      </c>
      <c r="G62" s="323">
        <f>'Processor LT base (sov)'!P64</f>
        <v>6.7571798176599127E-2</v>
      </c>
      <c r="H62" s="323">
        <f>'Processor LT adverse (sov)'!P64</f>
        <v>6.7571798176599127E-2</v>
      </c>
    </row>
    <row r="63" spans="3:8" x14ac:dyDescent="0.25">
      <c r="C63" s="291"/>
      <c r="D63" s="291"/>
      <c r="E63" s="291"/>
      <c r="F63" s="313">
        <v>2019</v>
      </c>
      <c r="G63" s="323">
        <f>'Processor LT base (sov)'!Q65</f>
        <v>5.4044570640920823E-2</v>
      </c>
      <c r="H63" s="323">
        <f>'Processor LT adverse (sov)'!Q65</f>
        <v>5.4044570640920823E-2</v>
      </c>
    </row>
    <row r="64" spans="3:8" x14ac:dyDescent="0.25">
      <c r="C64" s="291"/>
      <c r="D64" s="291"/>
      <c r="E64" s="291"/>
      <c r="F64" s="313">
        <v>2020</v>
      </c>
      <c r="G64" s="323">
        <f>'Processor LT base (sov)'!R66</f>
        <v>4.0143349373472505E-2</v>
      </c>
      <c r="H64" s="323">
        <f>'Processor LT adverse (sov)'!R66</f>
        <v>4.0143349373472505E-2</v>
      </c>
    </row>
    <row r="65" spans="6:8" x14ac:dyDescent="0.25">
      <c r="F65" s="291"/>
      <c r="G65" s="291"/>
      <c r="H65" s="291"/>
    </row>
    <row r="66" spans="6:8" ht="17.25" x14ac:dyDescent="0.25">
      <c r="F66" s="324" t="s">
        <v>243</v>
      </c>
      <c r="G66" s="291"/>
      <c r="H66" s="291"/>
    </row>
    <row r="67" spans="6:8" x14ac:dyDescent="0.25">
      <c r="F67" s="325"/>
      <c r="G67" s="291"/>
      <c r="H67" s="291"/>
    </row>
    <row r="68" spans="6:8" x14ac:dyDescent="0.25">
      <c r="F68" s="291"/>
      <c r="G68" s="321" t="s">
        <v>0</v>
      </c>
      <c r="H68" s="322" t="s">
        <v>1</v>
      </c>
    </row>
    <row r="69" spans="6:8" x14ac:dyDescent="0.25">
      <c r="F69" s="313">
        <v>2018</v>
      </c>
      <c r="G69" s="323">
        <v>0.4</v>
      </c>
      <c r="H69" s="323">
        <v>0.4</v>
      </c>
    </row>
    <row r="70" spans="6:8" x14ac:dyDescent="0.25">
      <c r="F70" s="313">
        <v>2019</v>
      </c>
      <c r="G70" s="323">
        <v>0.4</v>
      </c>
      <c r="H70" s="323">
        <v>0.4</v>
      </c>
    </row>
    <row r="71" spans="6:8" x14ac:dyDescent="0.25">
      <c r="F71" s="313">
        <v>2020</v>
      </c>
      <c r="G71" s="323">
        <v>0.4</v>
      </c>
      <c r="H71" s="323">
        <v>0.4</v>
      </c>
    </row>
  </sheetData>
  <sheetProtection password="F54F" sheet="1" objects="1" scenarios="1"/>
  <mergeCells count="28">
    <mergeCell ref="C36:C40"/>
    <mergeCell ref="G36:I36"/>
    <mergeCell ref="M36:O36"/>
    <mergeCell ref="E38:E40"/>
    <mergeCell ref="K38:K40"/>
    <mergeCell ref="C42:C46"/>
    <mergeCell ref="G42:I42"/>
    <mergeCell ref="M42:O42"/>
    <mergeCell ref="E44:E46"/>
    <mergeCell ref="K44:K46"/>
    <mergeCell ref="E28:I28"/>
    <mergeCell ref="K28:O28"/>
    <mergeCell ref="C30:C34"/>
    <mergeCell ref="G30:I30"/>
    <mergeCell ref="M30:O30"/>
    <mergeCell ref="E32:E34"/>
    <mergeCell ref="K32:K34"/>
    <mergeCell ref="F12:K12"/>
    <mergeCell ref="F13:H13"/>
    <mergeCell ref="I13:K13"/>
    <mergeCell ref="C21:C25"/>
    <mergeCell ref="G21:I21"/>
    <mergeCell ref="E23:E25"/>
    <mergeCell ref="C8:D8"/>
    <mergeCell ref="C9:D9"/>
    <mergeCell ref="F6:K6"/>
    <mergeCell ref="F7:H7"/>
    <mergeCell ref="I7:K7"/>
  </mergeCells>
  <conditionalFormatting sqref="J23:J25">
    <cfRule type="cellIs" dxfId="3" priority="1" operator="lessThan">
      <formula>1</formula>
    </cfRule>
    <cfRule type="cellIs" dxfId="2" priority="2" operator="greaterThan">
      <formula>1</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Lists!$F$4:$F$31</xm:f>
          </x14:formula1>
          <xm:sqref>C9:D9</xm:sqref>
        </x14:dataValidation>
        <x14:dataValidation type="list" allowBlank="1" showInputMessage="1" showErrorMessage="1">
          <x14:formula1>
            <xm:f>Lists!$I$4:$I$53</xm:f>
          </x14:formula1>
          <xm:sqref>D52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62"/>
  <sheetViews>
    <sheetView zoomScale="70" zoomScaleNormal="70" workbookViewId="0"/>
  </sheetViews>
  <sheetFormatPr defaultRowHeight="15" x14ac:dyDescent="0.25"/>
  <cols>
    <col min="1" max="1" width="9.140625" style="235"/>
    <col min="2" max="2" width="17.7109375" style="235" customWidth="1"/>
    <col min="3" max="3" width="60" style="235" bestFit="1" customWidth="1"/>
    <col min="4" max="4" width="69.42578125" style="235" customWidth="1"/>
    <col min="5" max="6" width="9.140625" style="235"/>
    <col min="7" max="7" width="36.28515625" style="235" bestFit="1" customWidth="1"/>
    <col min="8" max="257" width="9.140625" style="235"/>
    <col min="258" max="258" width="13.42578125" style="235" bestFit="1" customWidth="1"/>
    <col min="259" max="259" width="60" style="235" bestFit="1" customWidth="1"/>
    <col min="260" max="260" width="69.42578125" style="235" customWidth="1"/>
    <col min="261" max="262" width="9.140625" style="235"/>
    <col min="263" max="263" width="36.28515625" style="235" bestFit="1" customWidth="1"/>
    <col min="264" max="513" width="9.140625" style="235"/>
    <col min="514" max="514" width="13.42578125" style="235" bestFit="1" customWidth="1"/>
    <col min="515" max="515" width="60" style="235" bestFit="1" customWidth="1"/>
    <col min="516" max="516" width="69.42578125" style="235" customWidth="1"/>
    <col min="517" max="518" width="9.140625" style="235"/>
    <col min="519" max="519" width="36.28515625" style="235" bestFit="1" customWidth="1"/>
    <col min="520" max="769" width="9.140625" style="235"/>
    <col min="770" max="770" width="13.42578125" style="235" bestFit="1" customWidth="1"/>
    <col min="771" max="771" width="60" style="235" bestFit="1" customWidth="1"/>
    <col min="772" max="772" width="69.42578125" style="235" customWidth="1"/>
    <col min="773" max="774" width="9.140625" style="235"/>
    <col min="775" max="775" width="36.28515625" style="235" bestFit="1" customWidth="1"/>
    <col min="776" max="1025" width="9.140625" style="235"/>
    <col min="1026" max="1026" width="13.42578125" style="235" bestFit="1" customWidth="1"/>
    <col min="1027" max="1027" width="60" style="235" bestFit="1" customWidth="1"/>
    <col min="1028" max="1028" width="69.42578125" style="235" customWidth="1"/>
    <col min="1029" max="1030" width="9.140625" style="235"/>
    <col min="1031" max="1031" width="36.28515625" style="235" bestFit="1" customWidth="1"/>
    <col min="1032" max="1281" width="9.140625" style="235"/>
    <col min="1282" max="1282" width="13.42578125" style="235" bestFit="1" customWidth="1"/>
    <col min="1283" max="1283" width="60" style="235" bestFit="1" customWidth="1"/>
    <col min="1284" max="1284" width="69.42578125" style="235" customWidth="1"/>
    <col min="1285" max="1286" width="9.140625" style="235"/>
    <col min="1287" max="1287" width="36.28515625" style="235" bestFit="1" customWidth="1"/>
    <col min="1288" max="1537" width="9.140625" style="235"/>
    <col min="1538" max="1538" width="13.42578125" style="235" bestFit="1" customWidth="1"/>
    <col min="1539" max="1539" width="60" style="235" bestFit="1" customWidth="1"/>
    <col min="1540" max="1540" width="69.42578125" style="235" customWidth="1"/>
    <col min="1541" max="1542" width="9.140625" style="235"/>
    <col min="1543" max="1543" width="36.28515625" style="235" bestFit="1" customWidth="1"/>
    <col min="1544" max="1793" width="9.140625" style="235"/>
    <col min="1794" max="1794" width="13.42578125" style="235" bestFit="1" customWidth="1"/>
    <col min="1795" max="1795" width="60" style="235" bestFit="1" customWidth="1"/>
    <col min="1796" max="1796" width="69.42578125" style="235" customWidth="1"/>
    <col min="1797" max="1798" width="9.140625" style="235"/>
    <col min="1799" max="1799" width="36.28515625" style="235" bestFit="1" customWidth="1"/>
    <col min="1800" max="2049" width="9.140625" style="235"/>
    <col min="2050" max="2050" width="13.42578125" style="235" bestFit="1" customWidth="1"/>
    <col min="2051" max="2051" width="60" style="235" bestFit="1" customWidth="1"/>
    <col min="2052" max="2052" width="69.42578125" style="235" customWidth="1"/>
    <col min="2053" max="2054" width="9.140625" style="235"/>
    <col min="2055" max="2055" width="36.28515625" style="235" bestFit="1" customWidth="1"/>
    <col min="2056" max="2305" width="9.140625" style="235"/>
    <col min="2306" max="2306" width="13.42578125" style="235" bestFit="1" customWidth="1"/>
    <col min="2307" max="2307" width="60" style="235" bestFit="1" customWidth="1"/>
    <col min="2308" max="2308" width="69.42578125" style="235" customWidth="1"/>
    <col min="2309" max="2310" width="9.140625" style="235"/>
    <col min="2311" max="2311" width="36.28515625" style="235" bestFit="1" customWidth="1"/>
    <col min="2312" max="2561" width="9.140625" style="235"/>
    <col min="2562" max="2562" width="13.42578125" style="235" bestFit="1" customWidth="1"/>
    <col min="2563" max="2563" width="60" style="235" bestFit="1" customWidth="1"/>
    <col min="2564" max="2564" width="69.42578125" style="235" customWidth="1"/>
    <col min="2565" max="2566" width="9.140625" style="235"/>
    <col min="2567" max="2567" width="36.28515625" style="235" bestFit="1" customWidth="1"/>
    <col min="2568" max="2817" width="9.140625" style="235"/>
    <col min="2818" max="2818" width="13.42578125" style="235" bestFit="1" customWidth="1"/>
    <col min="2819" max="2819" width="60" style="235" bestFit="1" customWidth="1"/>
    <col min="2820" max="2820" width="69.42578125" style="235" customWidth="1"/>
    <col min="2821" max="2822" width="9.140625" style="235"/>
    <col min="2823" max="2823" width="36.28515625" style="235" bestFit="1" customWidth="1"/>
    <col min="2824" max="3073" width="9.140625" style="235"/>
    <col min="3074" max="3074" width="13.42578125" style="235" bestFit="1" customWidth="1"/>
    <col min="3075" max="3075" width="60" style="235" bestFit="1" customWidth="1"/>
    <col min="3076" max="3076" width="69.42578125" style="235" customWidth="1"/>
    <col min="3077" max="3078" width="9.140625" style="235"/>
    <col min="3079" max="3079" width="36.28515625" style="235" bestFit="1" customWidth="1"/>
    <col min="3080" max="3329" width="9.140625" style="235"/>
    <col min="3330" max="3330" width="13.42578125" style="235" bestFit="1" customWidth="1"/>
    <col min="3331" max="3331" width="60" style="235" bestFit="1" customWidth="1"/>
    <col min="3332" max="3332" width="69.42578125" style="235" customWidth="1"/>
    <col min="3333" max="3334" width="9.140625" style="235"/>
    <col min="3335" max="3335" width="36.28515625" style="235" bestFit="1" customWidth="1"/>
    <col min="3336" max="3585" width="9.140625" style="235"/>
    <col min="3586" max="3586" width="13.42578125" style="235" bestFit="1" customWidth="1"/>
    <col min="3587" max="3587" width="60" style="235" bestFit="1" customWidth="1"/>
    <col min="3588" max="3588" width="69.42578125" style="235" customWidth="1"/>
    <col min="3589" max="3590" width="9.140625" style="235"/>
    <col min="3591" max="3591" width="36.28515625" style="235" bestFit="1" customWidth="1"/>
    <col min="3592" max="3841" width="9.140625" style="235"/>
    <col min="3842" max="3842" width="13.42578125" style="235" bestFit="1" customWidth="1"/>
    <col min="3843" max="3843" width="60" style="235" bestFit="1" customWidth="1"/>
    <col min="3844" max="3844" width="69.42578125" style="235" customWidth="1"/>
    <col min="3845" max="3846" width="9.140625" style="235"/>
    <col min="3847" max="3847" width="36.28515625" style="235" bestFit="1" customWidth="1"/>
    <col min="3848" max="4097" width="9.140625" style="235"/>
    <col min="4098" max="4098" width="13.42578125" style="235" bestFit="1" customWidth="1"/>
    <col min="4099" max="4099" width="60" style="235" bestFit="1" customWidth="1"/>
    <col min="4100" max="4100" width="69.42578125" style="235" customWidth="1"/>
    <col min="4101" max="4102" width="9.140625" style="235"/>
    <col min="4103" max="4103" width="36.28515625" style="235" bestFit="1" customWidth="1"/>
    <col min="4104" max="4353" width="9.140625" style="235"/>
    <col min="4354" max="4354" width="13.42578125" style="235" bestFit="1" customWidth="1"/>
    <col min="4355" max="4355" width="60" style="235" bestFit="1" customWidth="1"/>
    <col min="4356" max="4356" width="69.42578125" style="235" customWidth="1"/>
    <col min="4357" max="4358" width="9.140625" style="235"/>
    <col min="4359" max="4359" width="36.28515625" style="235" bestFit="1" customWidth="1"/>
    <col min="4360" max="4609" width="9.140625" style="235"/>
    <col min="4610" max="4610" width="13.42578125" style="235" bestFit="1" customWidth="1"/>
    <col min="4611" max="4611" width="60" style="235" bestFit="1" customWidth="1"/>
    <col min="4612" max="4612" width="69.42578125" style="235" customWidth="1"/>
    <col min="4613" max="4614" width="9.140625" style="235"/>
    <col min="4615" max="4615" width="36.28515625" style="235" bestFit="1" customWidth="1"/>
    <col min="4616" max="4865" width="9.140625" style="235"/>
    <col min="4866" max="4866" width="13.42578125" style="235" bestFit="1" customWidth="1"/>
    <col min="4867" max="4867" width="60" style="235" bestFit="1" customWidth="1"/>
    <col min="4868" max="4868" width="69.42578125" style="235" customWidth="1"/>
    <col min="4869" max="4870" width="9.140625" style="235"/>
    <col min="4871" max="4871" width="36.28515625" style="235" bestFit="1" customWidth="1"/>
    <col min="4872" max="5121" width="9.140625" style="235"/>
    <col min="5122" max="5122" width="13.42578125" style="235" bestFit="1" customWidth="1"/>
    <col min="5123" max="5123" width="60" style="235" bestFit="1" customWidth="1"/>
    <col min="5124" max="5124" width="69.42578125" style="235" customWidth="1"/>
    <col min="5125" max="5126" width="9.140625" style="235"/>
    <col min="5127" max="5127" width="36.28515625" style="235" bestFit="1" customWidth="1"/>
    <col min="5128" max="5377" width="9.140625" style="235"/>
    <col min="5378" max="5378" width="13.42578125" style="235" bestFit="1" customWidth="1"/>
    <col min="5379" max="5379" width="60" style="235" bestFit="1" customWidth="1"/>
    <col min="5380" max="5380" width="69.42578125" style="235" customWidth="1"/>
    <col min="5381" max="5382" width="9.140625" style="235"/>
    <col min="5383" max="5383" width="36.28515625" style="235" bestFit="1" customWidth="1"/>
    <col min="5384" max="5633" width="9.140625" style="235"/>
    <col min="5634" max="5634" width="13.42578125" style="235" bestFit="1" customWidth="1"/>
    <col min="5635" max="5635" width="60" style="235" bestFit="1" customWidth="1"/>
    <col min="5636" max="5636" width="69.42578125" style="235" customWidth="1"/>
    <col min="5637" max="5638" width="9.140625" style="235"/>
    <col min="5639" max="5639" width="36.28515625" style="235" bestFit="1" customWidth="1"/>
    <col min="5640" max="5889" width="9.140625" style="235"/>
    <col min="5890" max="5890" width="13.42578125" style="235" bestFit="1" customWidth="1"/>
    <col min="5891" max="5891" width="60" style="235" bestFit="1" customWidth="1"/>
    <col min="5892" max="5892" width="69.42578125" style="235" customWidth="1"/>
    <col min="5893" max="5894" width="9.140625" style="235"/>
    <col min="5895" max="5895" width="36.28515625" style="235" bestFit="1" customWidth="1"/>
    <col min="5896" max="6145" width="9.140625" style="235"/>
    <col min="6146" max="6146" width="13.42578125" style="235" bestFit="1" customWidth="1"/>
    <col min="6147" max="6147" width="60" style="235" bestFit="1" customWidth="1"/>
    <col min="6148" max="6148" width="69.42578125" style="235" customWidth="1"/>
    <col min="6149" max="6150" width="9.140625" style="235"/>
    <col min="6151" max="6151" width="36.28515625" style="235" bestFit="1" customWidth="1"/>
    <col min="6152" max="6401" width="9.140625" style="235"/>
    <col min="6402" max="6402" width="13.42578125" style="235" bestFit="1" customWidth="1"/>
    <col min="6403" max="6403" width="60" style="235" bestFit="1" customWidth="1"/>
    <col min="6404" max="6404" width="69.42578125" style="235" customWidth="1"/>
    <col min="6405" max="6406" width="9.140625" style="235"/>
    <col min="6407" max="6407" width="36.28515625" style="235" bestFit="1" customWidth="1"/>
    <col min="6408" max="6657" width="9.140625" style="235"/>
    <col min="6658" max="6658" width="13.42578125" style="235" bestFit="1" customWidth="1"/>
    <col min="6659" max="6659" width="60" style="235" bestFit="1" customWidth="1"/>
    <col min="6660" max="6660" width="69.42578125" style="235" customWidth="1"/>
    <col min="6661" max="6662" width="9.140625" style="235"/>
    <col min="6663" max="6663" width="36.28515625" style="235" bestFit="1" customWidth="1"/>
    <col min="6664" max="6913" width="9.140625" style="235"/>
    <col min="6914" max="6914" width="13.42578125" style="235" bestFit="1" customWidth="1"/>
    <col min="6915" max="6915" width="60" style="235" bestFit="1" customWidth="1"/>
    <col min="6916" max="6916" width="69.42578125" style="235" customWidth="1"/>
    <col min="6917" max="6918" width="9.140625" style="235"/>
    <col min="6919" max="6919" width="36.28515625" style="235" bestFit="1" customWidth="1"/>
    <col min="6920" max="7169" width="9.140625" style="235"/>
    <col min="7170" max="7170" width="13.42578125" style="235" bestFit="1" customWidth="1"/>
    <col min="7171" max="7171" width="60" style="235" bestFit="1" customWidth="1"/>
    <col min="7172" max="7172" width="69.42578125" style="235" customWidth="1"/>
    <col min="7173" max="7174" width="9.140625" style="235"/>
    <col min="7175" max="7175" width="36.28515625" style="235" bestFit="1" customWidth="1"/>
    <col min="7176" max="7425" width="9.140625" style="235"/>
    <col min="7426" max="7426" width="13.42578125" style="235" bestFit="1" customWidth="1"/>
    <col min="7427" max="7427" width="60" style="235" bestFit="1" customWidth="1"/>
    <col min="7428" max="7428" width="69.42578125" style="235" customWidth="1"/>
    <col min="7429" max="7430" width="9.140625" style="235"/>
    <col min="7431" max="7431" width="36.28515625" style="235" bestFit="1" customWidth="1"/>
    <col min="7432" max="7681" width="9.140625" style="235"/>
    <col min="7682" max="7682" width="13.42578125" style="235" bestFit="1" customWidth="1"/>
    <col min="7683" max="7683" width="60" style="235" bestFit="1" customWidth="1"/>
    <col min="7684" max="7684" width="69.42578125" style="235" customWidth="1"/>
    <col min="7685" max="7686" width="9.140625" style="235"/>
    <col min="7687" max="7687" width="36.28515625" style="235" bestFit="1" customWidth="1"/>
    <col min="7688" max="7937" width="9.140625" style="235"/>
    <col min="7938" max="7938" width="13.42578125" style="235" bestFit="1" customWidth="1"/>
    <col min="7939" max="7939" width="60" style="235" bestFit="1" customWidth="1"/>
    <col min="7940" max="7940" width="69.42578125" style="235" customWidth="1"/>
    <col min="7941" max="7942" width="9.140625" style="235"/>
    <col min="7943" max="7943" width="36.28515625" style="235" bestFit="1" customWidth="1"/>
    <col min="7944" max="8193" width="9.140625" style="235"/>
    <col min="8194" max="8194" width="13.42578125" style="235" bestFit="1" customWidth="1"/>
    <col min="8195" max="8195" width="60" style="235" bestFit="1" customWidth="1"/>
    <col min="8196" max="8196" width="69.42578125" style="235" customWidth="1"/>
    <col min="8197" max="8198" width="9.140625" style="235"/>
    <col min="8199" max="8199" width="36.28515625" style="235" bestFit="1" customWidth="1"/>
    <col min="8200" max="8449" width="9.140625" style="235"/>
    <col min="8450" max="8450" width="13.42578125" style="235" bestFit="1" customWidth="1"/>
    <col min="8451" max="8451" width="60" style="235" bestFit="1" customWidth="1"/>
    <col min="8452" max="8452" width="69.42578125" style="235" customWidth="1"/>
    <col min="8453" max="8454" width="9.140625" style="235"/>
    <col min="8455" max="8455" width="36.28515625" style="235" bestFit="1" customWidth="1"/>
    <col min="8456" max="8705" width="9.140625" style="235"/>
    <col min="8706" max="8706" width="13.42578125" style="235" bestFit="1" customWidth="1"/>
    <col min="8707" max="8707" width="60" style="235" bestFit="1" customWidth="1"/>
    <col min="8708" max="8708" width="69.42578125" style="235" customWidth="1"/>
    <col min="8709" max="8710" width="9.140625" style="235"/>
    <col min="8711" max="8711" width="36.28515625" style="235" bestFit="1" customWidth="1"/>
    <col min="8712" max="8961" width="9.140625" style="235"/>
    <col min="8962" max="8962" width="13.42578125" style="235" bestFit="1" customWidth="1"/>
    <col min="8963" max="8963" width="60" style="235" bestFit="1" customWidth="1"/>
    <col min="8964" max="8964" width="69.42578125" style="235" customWidth="1"/>
    <col min="8965" max="8966" width="9.140625" style="235"/>
    <col min="8967" max="8967" width="36.28515625" style="235" bestFit="1" customWidth="1"/>
    <col min="8968" max="9217" width="9.140625" style="235"/>
    <col min="9218" max="9218" width="13.42578125" style="235" bestFit="1" customWidth="1"/>
    <col min="9219" max="9219" width="60" style="235" bestFit="1" customWidth="1"/>
    <col min="9220" max="9220" width="69.42578125" style="235" customWidth="1"/>
    <col min="9221" max="9222" width="9.140625" style="235"/>
    <col min="9223" max="9223" width="36.28515625" style="235" bestFit="1" customWidth="1"/>
    <col min="9224" max="9473" width="9.140625" style="235"/>
    <col min="9474" max="9474" width="13.42578125" style="235" bestFit="1" customWidth="1"/>
    <col min="9475" max="9475" width="60" style="235" bestFit="1" customWidth="1"/>
    <col min="9476" max="9476" width="69.42578125" style="235" customWidth="1"/>
    <col min="9477" max="9478" width="9.140625" style="235"/>
    <col min="9479" max="9479" width="36.28515625" style="235" bestFit="1" customWidth="1"/>
    <col min="9480" max="9729" width="9.140625" style="235"/>
    <col min="9730" max="9730" width="13.42578125" style="235" bestFit="1" customWidth="1"/>
    <col min="9731" max="9731" width="60" style="235" bestFit="1" customWidth="1"/>
    <col min="9732" max="9732" width="69.42578125" style="235" customWidth="1"/>
    <col min="9733" max="9734" width="9.140625" style="235"/>
    <col min="9735" max="9735" width="36.28515625" style="235" bestFit="1" customWidth="1"/>
    <col min="9736" max="9985" width="9.140625" style="235"/>
    <col min="9986" max="9986" width="13.42578125" style="235" bestFit="1" customWidth="1"/>
    <col min="9987" max="9987" width="60" style="235" bestFit="1" customWidth="1"/>
    <col min="9988" max="9988" width="69.42578125" style="235" customWidth="1"/>
    <col min="9989" max="9990" width="9.140625" style="235"/>
    <col min="9991" max="9991" width="36.28515625" style="235" bestFit="1" customWidth="1"/>
    <col min="9992" max="10241" width="9.140625" style="235"/>
    <col min="10242" max="10242" width="13.42578125" style="235" bestFit="1" customWidth="1"/>
    <col min="10243" max="10243" width="60" style="235" bestFit="1" customWidth="1"/>
    <col min="10244" max="10244" width="69.42578125" style="235" customWidth="1"/>
    <col min="10245" max="10246" width="9.140625" style="235"/>
    <col min="10247" max="10247" width="36.28515625" style="235" bestFit="1" customWidth="1"/>
    <col min="10248" max="10497" width="9.140625" style="235"/>
    <col min="10498" max="10498" width="13.42578125" style="235" bestFit="1" customWidth="1"/>
    <col min="10499" max="10499" width="60" style="235" bestFit="1" customWidth="1"/>
    <col min="10500" max="10500" width="69.42578125" style="235" customWidth="1"/>
    <col min="10501" max="10502" width="9.140625" style="235"/>
    <col min="10503" max="10503" width="36.28515625" style="235" bestFit="1" customWidth="1"/>
    <col min="10504" max="10753" width="9.140625" style="235"/>
    <col min="10754" max="10754" width="13.42578125" style="235" bestFit="1" customWidth="1"/>
    <col min="10755" max="10755" width="60" style="235" bestFit="1" customWidth="1"/>
    <col min="10756" max="10756" width="69.42578125" style="235" customWidth="1"/>
    <col min="10757" max="10758" width="9.140625" style="235"/>
    <col min="10759" max="10759" width="36.28515625" style="235" bestFit="1" customWidth="1"/>
    <col min="10760" max="11009" width="9.140625" style="235"/>
    <col min="11010" max="11010" width="13.42578125" style="235" bestFit="1" customWidth="1"/>
    <col min="11011" max="11011" width="60" style="235" bestFit="1" customWidth="1"/>
    <col min="11012" max="11012" width="69.42578125" style="235" customWidth="1"/>
    <col min="11013" max="11014" width="9.140625" style="235"/>
    <col min="11015" max="11015" width="36.28515625" style="235" bestFit="1" customWidth="1"/>
    <col min="11016" max="11265" width="9.140625" style="235"/>
    <col min="11266" max="11266" width="13.42578125" style="235" bestFit="1" customWidth="1"/>
    <col min="11267" max="11267" width="60" style="235" bestFit="1" customWidth="1"/>
    <col min="11268" max="11268" width="69.42578125" style="235" customWidth="1"/>
    <col min="11269" max="11270" width="9.140625" style="235"/>
    <col min="11271" max="11271" width="36.28515625" style="235" bestFit="1" customWidth="1"/>
    <col min="11272" max="11521" width="9.140625" style="235"/>
    <col min="11522" max="11522" width="13.42578125" style="235" bestFit="1" customWidth="1"/>
    <col min="11523" max="11523" width="60" style="235" bestFit="1" customWidth="1"/>
    <col min="11524" max="11524" width="69.42578125" style="235" customWidth="1"/>
    <col min="11525" max="11526" width="9.140625" style="235"/>
    <col min="11527" max="11527" width="36.28515625" style="235" bestFit="1" customWidth="1"/>
    <col min="11528" max="11777" width="9.140625" style="235"/>
    <col min="11778" max="11778" width="13.42578125" style="235" bestFit="1" customWidth="1"/>
    <col min="11779" max="11779" width="60" style="235" bestFit="1" customWidth="1"/>
    <col min="11780" max="11780" width="69.42578125" style="235" customWidth="1"/>
    <col min="11781" max="11782" width="9.140625" style="235"/>
    <col min="11783" max="11783" width="36.28515625" style="235" bestFit="1" customWidth="1"/>
    <col min="11784" max="12033" width="9.140625" style="235"/>
    <col min="12034" max="12034" width="13.42578125" style="235" bestFit="1" customWidth="1"/>
    <col min="12035" max="12035" width="60" style="235" bestFit="1" customWidth="1"/>
    <col min="12036" max="12036" width="69.42578125" style="235" customWidth="1"/>
    <col min="12037" max="12038" width="9.140625" style="235"/>
    <col min="12039" max="12039" width="36.28515625" style="235" bestFit="1" customWidth="1"/>
    <col min="12040" max="12289" width="9.140625" style="235"/>
    <col min="12290" max="12290" width="13.42578125" style="235" bestFit="1" customWidth="1"/>
    <col min="12291" max="12291" width="60" style="235" bestFit="1" customWidth="1"/>
    <col min="12292" max="12292" width="69.42578125" style="235" customWidth="1"/>
    <col min="12293" max="12294" width="9.140625" style="235"/>
    <col min="12295" max="12295" width="36.28515625" style="235" bestFit="1" customWidth="1"/>
    <col min="12296" max="12545" width="9.140625" style="235"/>
    <col min="12546" max="12546" width="13.42578125" style="235" bestFit="1" customWidth="1"/>
    <col min="12547" max="12547" width="60" style="235" bestFit="1" customWidth="1"/>
    <col min="12548" max="12548" width="69.42578125" style="235" customWidth="1"/>
    <col min="12549" max="12550" width="9.140625" style="235"/>
    <col min="12551" max="12551" width="36.28515625" style="235" bestFit="1" customWidth="1"/>
    <col min="12552" max="12801" width="9.140625" style="235"/>
    <col min="12802" max="12802" width="13.42578125" style="235" bestFit="1" customWidth="1"/>
    <col min="12803" max="12803" width="60" style="235" bestFit="1" customWidth="1"/>
    <col min="12804" max="12804" width="69.42578125" style="235" customWidth="1"/>
    <col min="12805" max="12806" width="9.140625" style="235"/>
    <col min="12807" max="12807" width="36.28515625" style="235" bestFit="1" customWidth="1"/>
    <col min="12808" max="13057" width="9.140625" style="235"/>
    <col min="13058" max="13058" width="13.42578125" style="235" bestFit="1" customWidth="1"/>
    <col min="13059" max="13059" width="60" style="235" bestFit="1" customWidth="1"/>
    <col min="13060" max="13060" width="69.42578125" style="235" customWidth="1"/>
    <col min="13061" max="13062" width="9.140625" style="235"/>
    <col min="13063" max="13063" width="36.28515625" style="235" bestFit="1" customWidth="1"/>
    <col min="13064" max="13313" width="9.140625" style="235"/>
    <col min="13314" max="13314" width="13.42578125" style="235" bestFit="1" customWidth="1"/>
    <col min="13315" max="13315" width="60" style="235" bestFit="1" customWidth="1"/>
    <col min="13316" max="13316" width="69.42578125" style="235" customWidth="1"/>
    <col min="13317" max="13318" width="9.140625" style="235"/>
    <col min="13319" max="13319" width="36.28515625" style="235" bestFit="1" customWidth="1"/>
    <col min="13320" max="13569" width="9.140625" style="235"/>
    <col min="13570" max="13570" width="13.42578125" style="235" bestFit="1" customWidth="1"/>
    <col min="13571" max="13571" width="60" style="235" bestFit="1" customWidth="1"/>
    <col min="13572" max="13572" width="69.42578125" style="235" customWidth="1"/>
    <col min="13573" max="13574" width="9.140625" style="235"/>
    <col min="13575" max="13575" width="36.28515625" style="235" bestFit="1" customWidth="1"/>
    <col min="13576" max="13825" width="9.140625" style="235"/>
    <col min="13826" max="13826" width="13.42578125" style="235" bestFit="1" customWidth="1"/>
    <col min="13827" max="13827" width="60" style="235" bestFit="1" customWidth="1"/>
    <col min="13828" max="13828" width="69.42578125" style="235" customWidth="1"/>
    <col min="13829" max="13830" width="9.140625" style="235"/>
    <col min="13831" max="13831" width="36.28515625" style="235" bestFit="1" customWidth="1"/>
    <col min="13832" max="14081" width="9.140625" style="235"/>
    <col min="14082" max="14082" width="13.42578125" style="235" bestFit="1" customWidth="1"/>
    <col min="14083" max="14083" width="60" style="235" bestFit="1" customWidth="1"/>
    <col min="14084" max="14084" width="69.42578125" style="235" customWidth="1"/>
    <col min="14085" max="14086" width="9.140625" style="235"/>
    <col min="14087" max="14087" width="36.28515625" style="235" bestFit="1" customWidth="1"/>
    <col min="14088" max="14337" width="9.140625" style="235"/>
    <col min="14338" max="14338" width="13.42578125" style="235" bestFit="1" customWidth="1"/>
    <col min="14339" max="14339" width="60" style="235" bestFit="1" customWidth="1"/>
    <col min="14340" max="14340" width="69.42578125" style="235" customWidth="1"/>
    <col min="14341" max="14342" width="9.140625" style="235"/>
    <col min="14343" max="14343" width="36.28515625" style="235" bestFit="1" customWidth="1"/>
    <col min="14344" max="14593" width="9.140625" style="235"/>
    <col min="14594" max="14594" width="13.42578125" style="235" bestFit="1" customWidth="1"/>
    <col min="14595" max="14595" width="60" style="235" bestFit="1" customWidth="1"/>
    <col min="14596" max="14596" width="69.42578125" style="235" customWidth="1"/>
    <col min="14597" max="14598" width="9.140625" style="235"/>
    <col min="14599" max="14599" width="36.28515625" style="235" bestFit="1" customWidth="1"/>
    <col min="14600" max="14849" width="9.140625" style="235"/>
    <col min="14850" max="14850" width="13.42578125" style="235" bestFit="1" customWidth="1"/>
    <col min="14851" max="14851" width="60" style="235" bestFit="1" customWidth="1"/>
    <col min="14852" max="14852" width="69.42578125" style="235" customWidth="1"/>
    <col min="14853" max="14854" width="9.140625" style="235"/>
    <col min="14855" max="14855" width="36.28515625" style="235" bestFit="1" customWidth="1"/>
    <col min="14856" max="15105" width="9.140625" style="235"/>
    <col min="15106" max="15106" width="13.42578125" style="235" bestFit="1" customWidth="1"/>
    <col min="15107" max="15107" width="60" style="235" bestFit="1" customWidth="1"/>
    <col min="15108" max="15108" width="69.42578125" style="235" customWidth="1"/>
    <col min="15109" max="15110" width="9.140625" style="235"/>
    <col min="15111" max="15111" width="36.28515625" style="235" bestFit="1" customWidth="1"/>
    <col min="15112" max="15361" width="9.140625" style="235"/>
    <col min="15362" max="15362" width="13.42578125" style="235" bestFit="1" customWidth="1"/>
    <col min="15363" max="15363" width="60" style="235" bestFit="1" customWidth="1"/>
    <col min="15364" max="15364" width="69.42578125" style="235" customWidth="1"/>
    <col min="15365" max="15366" width="9.140625" style="235"/>
    <col min="15367" max="15367" width="36.28515625" style="235" bestFit="1" customWidth="1"/>
    <col min="15368" max="15617" width="9.140625" style="235"/>
    <col min="15618" max="15618" width="13.42578125" style="235" bestFit="1" customWidth="1"/>
    <col min="15619" max="15619" width="60" style="235" bestFit="1" customWidth="1"/>
    <col min="15620" max="15620" width="69.42578125" style="235" customWidth="1"/>
    <col min="15621" max="15622" width="9.140625" style="235"/>
    <col min="15623" max="15623" width="36.28515625" style="235" bestFit="1" customWidth="1"/>
    <col min="15624" max="15873" width="9.140625" style="235"/>
    <col min="15874" max="15874" width="13.42578125" style="235" bestFit="1" customWidth="1"/>
    <col min="15875" max="15875" width="60" style="235" bestFit="1" customWidth="1"/>
    <col min="15876" max="15876" width="69.42578125" style="235" customWidth="1"/>
    <col min="15877" max="15878" width="9.140625" style="235"/>
    <col min="15879" max="15879" width="36.28515625" style="235" bestFit="1" customWidth="1"/>
    <col min="15880" max="16129" width="9.140625" style="235"/>
    <col min="16130" max="16130" width="13.42578125" style="235" bestFit="1" customWidth="1"/>
    <col min="16131" max="16131" width="60" style="235" bestFit="1" customWidth="1"/>
    <col min="16132" max="16132" width="69.42578125" style="235" customWidth="1"/>
    <col min="16133" max="16134" width="9.140625" style="235"/>
    <col min="16135" max="16135" width="36.28515625" style="235" bestFit="1" customWidth="1"/>
    <col min="16136" max="16384" width="9.140625" style="235"/>
  </cols>
  <sheetData>
    <row r="2" spans="2:4" x14ac:dyDescent="0.25">
      <c r="B2" s="236" t="s">
        <v>501</v>
      </c>
    </row>
    <row r="3" spans="2:4" x14ac:dyDescent="0.25">
      <c r="B3" s="236"/>
    </row>
    <row r="5" spans="2:4" ht="27.75" customHeight="1" thickBot="1" x14ac:dyDescent="0.3">
      <c r="B5" s="359" t="s">
        <v>460</v>
      </c>
      <c r="C5" s="358" t="s">
        <v>18</v>
      </c>
      <c r="D5" s="358" t="s">
        <v>461</v>
      </c>
    </row>
    <row r="6" spans="2:4" ht="15.75" thickTop="1" x14ac:dyDescent="0.25">
      <c r="B6" s="400" t="s">
        <v>462</v>
      </c>
      <c r="C6" s="348" t="s">
        <v>463</v>
      </c>
      <c r="D6" s="353" t="s">
        <v>150</v>
      </c>
    </row>
    <row r="7" spans="2:4" x14ac:dyDescent="0.25">
      <c r="B7" s="401"/>
      <c r="C7" s="349" t="s">
        <v>464</v>
      </c>
      <c r="D7" s="354" t="s">
        <v>120</v>
      </c>
    </row>
    <row r="8" spans="2:4" x14ac:dyDescent="0.25">
      <c r="B8" s="401"/>
      <c r="C8" s="349" t="s">
        <v>465</v>
      </c>
      <c r="D8" s="354" t="s">
        <v>151</v>
      </c>
    </row>
    <row r="9" spans="2:4" x14ac:dyDescent="0.25">
      <c r="B9" s="401"/>
      <c r="C9" s="349" t="s">
        <v>466</v>
      </c>
      <c r="D9" s="354" t="s">
        <v>151</v>
      </c>
    </row>
    <row r="10" spans="2:4" x14ac:dyDescent="0.25">
      <c r="B10" s="401"/>
      <c r="C10" s="349" t="s">
        <v>467</v>
      </c>
      <c r="D10" s="354" t="s">
        <v>24</v>
      </c>
    </row>
    <row r="11" spans="2:4" x14ac:dyDescent="0.25">
      <c r="B11" s="401"/>
      <c r="C11" s="349" t="s">
        <v>468</v>
      </c>
      <c r="D11" s="354" t="s">
        <v>25</v>
      </c>
    </row>
    <row r="12" spans="2:4" x14ac:dyDescent="0.25">
      <c r="B12" s="401"/>
      <c r="C12" s="349" t="s">
        <v>469</v>
      </c>
      <c r="D12" s="354" t="s">
        <v>151</v>
      </c>
    </row>
    <row r="13" spans="2:4" x14ac:dyDescent="0.25">
      <c r="B13" s="401"/>
      <c r="C13" s="349" t="s">
        <v>467</v>
      </c>
      <c r="D13" s="354" t="s">
        <v>24</v>
      </c>
    </row>
    <row r="14" spans="2:4" x14ac:dyDescent="0.25">
      <c r="B14" s="401"/>
      <c r="C14" s="349" t="s">
        <v>468</v>
      </c>
      <c r="D14" s="354" t="s">
        <v>25</v>
      </c>
    </row>
    <row r="15" spans="2:4" x14ac:dyDescent="0.25">
      <c r="B15" s="401"/>
      <c r="C15" s="349" t="s">
        <v>470</v>
      </c>
      <c r="D15" s="354" t="s">
        <v>151</v>
      </c>
    </row>
    <row r="16" spans="2:4" x14ac:dyDescent="0.25">
      <c r="B16" s="401"/>
      <c r="C16" s="349" t="s">
        <v>467</v>
      </c>
      <c r="D16" s="354" t="s">
        <v>24</v>
      </c>
    </row>
    <row r="17" spans="2:4" x14ac:dyDescent="0.25">
      <c r="B17" s="401"/>
      <c r="C17" s="349" t="s">
        <v>468</v>
      </c>
      <c r="D17" s="354" t="s">
        <v>25</v>
      </c>
    </row>
    <row r="18" spans="2:4" x14ac:dyDescent="0.25">
      <c r="B18" s="401"/>
      <c r="C18" s="349" t="s">
        <v>471</v>
      </c>
      <c r="D18" s="354" t="s">
        <v>151</v>
      </c>
    </row>
    <row r="19" spans="2:4" x14ac:dyDescent="0.25">
      <c r="B19" s="401"/>
      <c r="C19" s="349" t="s">
        <v>472</v>
      </c>
      <c r="D19" s="354" t="s">
        <v>151</v>
      </c>
    </row>
    <row r="20" spans="2:4" x14ac:dyDescent="0.25">
      <c r="B20" s="401"/>
      <c r="C20" s="349" t="s">
        <v>473</v>
      </c>
      <c r="D20" s="354" t="s">
        <v>118</v>
      </c>
    </row>
    <row r="21" spans="2:4" x14ac:dyDescent="0.25">
      <c r="B21" s="401"/>
      <c r="C21" s="349" t="s">
        <v>474</v>
      </c>
      <c r="D21" s="354" t="s">
        <v>118</v>
      </c>
    </row>
    <row r="22" spans="2:4" x14ac:dyDescent="0.25">
      <c r="B22" s="401"/>
      <c r="C22" s="350" t="s">
        <v>475</v>
      </c>
      <c r="D22" s="355" t="s">
        <v>118</v>
      </c>
    </row>
    <row r="23" spans="2:4" x14ac:dyDescent="0.25">
      <c r="B23" s="401"/>
      <c r="C23" s="350" t="s">
        <v>476</v>
      </c>
      <c r="D23" s="355" t="s">
        <v>118</v>
      </c>
    </row>
    <row r="24" spans="2:4" x14ac:dyDescent="0.25">
      <c r="B24" s="401"/>
      <c r="C24" s="350" t="s">
        <v>477</v>
      </c>
      <c r="D24" s="355" t="s">
        <v>118</v>
      </c>
    </row>
    <row r="25" spans="2:4" x14ac:dyDescent="0.25">
      <c r="B25" s="401"/>
      <c r="C25" s="350" t="s">
        <v>478</v>
      </c>
      <c r="D25" s="355" t="s">
        <v>118</v>
      </c>
    </row>
    <row r="26" spans="2:4" x14ac:dyDescent="0.25">
      <c r="B26" s="401"/>
      <c r="C26" s="350" t="s">
        <v>479</v>
      </c>
      <c r="D26" s="355" t="s">
        <v>118</v>
      </c>
    </row>
    <row r="27" spans="2:4" x14ac:dyDescent="0.25">
      <c r="B27" s="401"/>
      <c r="C27" s="349" t="s">
        <v>480</v>
      </c>
      <c r="D27" s="354" t="s">
        <v>119</v>
      </c>
    </row>
    <row r="28" spans="2:4" x14ac:dyDescent="0.25">
      <c r="B28" s="401"/>
      <c r="C28" s="349" t="s">
        <v>470</v>
      </c>
      <c r="D28" s="354" t="s">
        <v>151</v>
      </c>
    </row>
    <row r="29" spans="2:4" x14ac:dyDescent="0.25">
      <c r="B29" s="401"/>
      <c r="C29" s="349" t="s">
        <v>473</v>
      </c>
      <c r="D29" s="354" t="s">
        <v>119</v>
      </c>
    </row>
    <row r="30" spans="2:4" x14ac:dyDescent="0.25">
      <c r="B30" s="401"/>
      <c r="C30" s="349" t="s">
        <v>474</v>
      </c>
      <c r="D30" s="354" t="s">
        <v>119</v>
      </c>
    </row>
    <row r="31" spans="2:4" x14ac:dyDescent="0.25">
      <c r="B31" s="401"/>
      <c r="C31" s="349" t="s">
        <v>481</v>
      </c>
      <c r="D31" s="354" t="s">
        <v>151</v>
      </c>
    </row>
    <row r="32" spans="2:4" x14ac:dyDescent="0.25">
      <c r="B32" s="401"/>
      <c r="C32" s="349" t="s">
        <v>482</v>
      </c>
      <c r="D32" s="354" t="s">
        <v>151</v>
      </c>
    </row>
    <row r="33" spans="2:4" x14ac:dyDescent="0.25">
      <c r="B33" s="401"/>
      <c r="C33" s="349" t="s">
        <v>483</v>
      </c>
      <c r="D33" s="354" t="s">
        <v>151</v>
      </c>
    </row>
    <row r="34" spans="2:4" x14ac:dyDescent="0.25">
      <c r="B34" s="402"/>
      <c r="C34" s="351" t="s">
        <v>484</v>
      </c>
      <c r="D34" s="356" t="s">
        <v>151</v>
      </c>
    </row>
    <row r="35" spans="2:4" x14ac:dyDescent="0.25">
      <c r="B35" s="403" t="s">
        <v>485</v>
      </c>
      <c r="C35" s="352" t="s">
        <v>486</v>
      </c>
      <c r="D35" s="357" t="s">
        <v>150</v>
      </c>
    </row>
    <row r="36" spans="2:4" x14ac:dyDescent="0.25">
      <c r="B36" s="401"/>
      <c r="C36" s="349" t="s">
        <v>487</v>
      </c>
      <c r="D36" s="354" t="s">
        <v>150</v>
      </c>
    </row>
    <row r="37" spans="2:4" x14ac:dyDescent="0.25">
      <c r="B37" s="401"/>
      <c r="C37" s="349" t="s">
        <v>488</v>
      </c>
      <c r="D37" s="354" t="s">
        <v>151</v>
      </c>
    </row>
    <row r="38" spans="2:4" x14ac:dyDescent="0.25">
      <c r="B38" s="401"/>
      <c r="C38" s="349" t="s">
        <v>489</v>
      </c>
      <c r="D38" s="354" t="s">
        <v>151</v>
      </c>
    </row>
    <row r="39" spans="2:4" x14ac:dyDescent="0.25">
      <c r="B39" s="401"/>
      <c r="C39" s="349" t="s">
        <v>490</v>
      </c>
      <c r="D39" s="354" t="s">
        <v>151</v>
      </c>
    </row>
    <row r="40" spans="2:4" x14ac:dyDescent="0.25">
      <c r="B40" s="401"/>
      <c r="C40" s="349" t="s">
        <v>464</v>
      </c>
      <c r="D40" s="354" t="s">
        <v>120</v>
      </c>
    </row>
    <row r="41" spans="2:4" x14ac:dyDescent="0.25">
      <c r="B41" s="401"/>
      <c r="C41" s="349" t="s">
        <v>491</v>
      </c>
      <c r="D41" s="404" t="s">
        <v>492</v>
      </c>
    </row>
    <row r="42" spans="2:4" x14ac:dyDescent="0.25">
      <c r="B42" s="401"/>
      <c r="C42" s="349" t="s">
        <v>469</v>
      </c>
      <c r="D42" s="404"/>
    </row>
    <row r="43" spans="2:4" x14ac:dyDescent="0.25">
      <c r="B43" s="401"/>
      <c r="C43" s="349" t="s">
        <v>493</v>
      </c>
      <c r="D43" s="404"/>
    </row>
    <row r="44" spans="2:4" x14ac:dyDescent="0.25">
      <c r="B44" s="401"/>
      <c r="C44" s="349" t="s">
        <v>471</v>
      </c>
      <c r="D44" s="404" t="s">
        <v>494</v>
      </c>
    </row>
    <row r="45" spans="2:4" x14ac:dyDescent="0.25">
      <c r="B45" s="401"/>
      <c r="C45" s="349" t="s">
        <v>469</v>
      </c>
      <c r="D45" s="404"/>
    </row>
    <row r="46" spans="2:4" x14ac:dyDescent="0.25">
      <c r="B46" s="401"/>
      <c r="C46" s="349" t="s">
        <v>493</v>
      </c>
      <c r="D46" s="404"/>
    </row>
    <row r="47" spans="2:4" x14ac:dyDescent="0.25">
      <c r="B47" s="401"/>
      <c r="C47" s="349" t="s">
        <v>495</v>
      </c>
      <c r="D47" s="354" t="s">
        <v>151</v>
      </c>
    </row>
    <row r="48" spans="2:4" x14ac:dyDescent="0.25">
      <c r="B48" s="401"/>
      <c r="C48" s="349" t="s">
        <v>469</v>
      </c>
      <c r="D48" s="354" t="s">
        <v>118</v>
      </c>
    </row>
    <row r="49" spans="2:4" x14ac:dyDescent="0.25">
      <c r="B49" s="401"/>
      <c r="C49" s="349" t="s">
        <v>493</v>
      </c>
      <c r="D49" s="354" t="s">
        <v>118</v>
      </c>
    </row>
    <row r="50" spans="2:4" x14ac:dyDescent="0.25">
      <c r="B50" s="401"/>
      <c r="C50" s="350" t="s">
        <v>475</v>
      </c>
      <c r="D50" s="355" t="s">
        <v>118</v>
      </c>
    </row>
    <row r="51" spans="2:4" x14ac:dyDescent="0.25">
      <c r="B51" s="401"/>
      <c r="C51" s="350" t="s">
        <v>476</v>
      </c>
      <c r="D51" s="355" t="s">
        <v>118</v>
      </c>
    </row>
    <row r="52" spans="2:4" x14ac:dyDescent="0.25">
      <c r="B52" s="401"/>
      <c r="C52" s="350" t="s">
        <v>477</v>
      </c>
      <c r="D52" s="355" t="s">
        <v>118</v>
      </c>
    </row>
    <row r="53" spans="2:4" x14ac:dyDescent="0.25">
      <c r="B53" s="401"/>
      <c r="C53" s="350" t="s">
        <v>478</v>
      </c>
      <c r="D53" s="355" t="s">
        <v>118</v>
      </c>
    </row>
    <row r="54" spans="2:4" x14ac:dyDescent="0.25">
      <c r="B54" s="401"/>
      <c r="C54" s="350" t="s">
        <v>479</v>
      </c>
      <c r="D54" s="355" t="s">
        <v>118</v>
      </c>
    </row>
    <row r="55" spans="2:4" x14ac:dyDescent="0.25">
      <c r="B55" s="401"/>
      <c r="C55" s="349" t="s">
        <v>496</v>
      </c>
      <c r="D55" s="354" t="s">
        <v>151</v>
      </c>
    </row>
    <row r="56" spans="2:4" x14ac:dyDescent="0.25">
      <c r="B56" s="401"/>
      <c r="C56" s="349" t="s">
        <v>497</v>
      </c>
      <c r="D56" s="354" t="s">
        <v>151</v>
      </c>
    </row>
    <row r="57" spans="2:4" x14ac:dyDescent="0.25">
      <c r="B57" s="401"/>
      <c r="C57" s="349" t="s">
        <v>498</v>
      </c>
      <c r="D57" s="354" t="s">
        <v>151</v>
      </c>
    </row>
    <row r="58" spans="2:4" x14ac:dyDescent="0.25">
      <c r="B58" s="401"/>
      <c r="C58" s="349" t="s">
        <v>499</v>
      </c>
      <c r="D58" s="354" t="s">
        <v>151</v>
      </c>
    </row>
    <row r="59" spans="2:4" x14ac:dyDescent="0.25">
      <c r="B59" s="401"/>
      <c r="C59" s="349" t="s">
        <v>481</v>
      </c>
      <c r="D59" s="354" t="s">
        <v>151</v>
      </c>
    </row>
    <row r="60" spans="2:4" x14ac:dyDescent="0.25">
      <c r="B60" s="401"/>
      <c r="C60" s="349" t="s">
        <v>482</v>
      </c>
      <c r="D60" s="354" t="s">
        <v>151</v>
      </c>
    </row>
    <row r="61" spans="2:4" x14ac:dyDescent="0.25">
      <c r="B61" s="401"/>
      <c r="C61" s="349" t="s">
        <v>500</v>
      </c>
      <c r="D61" s="354" t="s">
        <v>151</v>
      </c>
    </row>
    <row r="62" spans="2:4" x14ac:dyDescent="0.25">
      <c r="B62" s="402"/>
      <c r="C62" s="351" t="s">
        <v>484</v>
      </c>
      <c r="D62" s="356" t="s">
        <v>151</v>
      </c>
    </row>
  </sheetData>
  <sheetProtection password="F54F" sheet="1" objects="1" scenarios="1"/>
  <mergeCells count="4">
    <mergeCell ref="B6:B34"/>
    <mergeCell ref="B35:B62"/>
    <mergeCell ref="D41:D43"/>
    <mergeCell ref="D44:D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85"/>
  <sheetViews>
    <sheetView zoomScale="55" zoomScaleNormal="55" workbookViewId="0"/>
  </sheetViews>
  <sheetFormatPr defaultRowHeight="15" x14ac:dyDescent="0.25"/>
  <cols>
    <col min="12" max="12" width="9.28515625" customWidth="1"/>
  </cols>
  <sheetData>
    <row r="2" spans="2:41" x14ac:dyDescent="0.25">
      <c r="B2" s="3" t="s">
        <v>122</v>
      </c>
      <c r="K2" s="3" t="s">
        <v>121</v>
      </c>
    </row>
    <row r="4" spans="2:41" x14ac:dyDescent="0.25">
      <c r="L4" s="408" t="s">
        <v>25</v>
      </c>
      <c r="M4" s="409"/>
      <c r="N4" s="409"/>
      <c r="O4" s="409"/>
      <c r="P4" s="409"/>
      <c r="Q4" s="410"/>
      <c r="R4" s="408" t="s">
        <v>24</v>
      </c>
      <c r="S4" s="409"/>
      <c r="T4" s="409"/>
      <c r="U4" s="409"/>
      <c r="V4" s="409"/>
      <c r="W4" s="410"/>
      <c r="X4" s="408" t="s">
        <v>118</v>
      </c>
      <c r="Y4" s="409"/>
      <c r="Z4" s="409"/>
      <c r="AA4" s="409"/>
      <c r="AB4" s="409"/>
      <c r="AC4" s="410"/>
      <c r="AD4" s="408" t="s">
        <v>119</v>
      </c>
      <c r="AE4" s="409"/>
      <c r="AF4" s="409"/>
      <c r="AG4" s="409"/>
      <c r="AH4" s="409"/>
      <c r="AI4" s="410"/>
      <c r="AJ4" s="408" t="s">
        <v>120</v>
      </c>
      <c r="AK4" s="409"/>
      <c r="AL4" s="409"/>
      <c r="AM4" s="409"/>
      <c r="AN4" s="409"/>
      <c r="AO4" s="410"/>
    </row>
    <row r="5" spans="2:41" x14ac:dyDescent="0.25">
      <c r="L5" s="405" t="s">
        <v>0</v>
      </c>
      <c r="M5" s="406"/>
      <c r="N5" s="407"/>
      <c r="O5" s="406" t="s">
        <v>1</v>
      </c>
      <c r="P5" s="406"/>
      <c r="Q5" s="407"/>
      <c r="R5" s="405" t="s">
        <v>0</v>
      </c>
      <c r="S5" s="406"/>
      <c r="T5" s="407"/>
      <c r="U5" s="406" t="s">
        <v>1</v>
      </c>
      <c r="V5" s="406"/>
      <c r="W5" s="407"/>
      <c r="X5" s="405" t="s">
        <v>0</v>
      </c>
      <c r="Y5" s="406"/>
      <c r="Z5" s="407"/>
      <c r="AA5" s="406" t="s">
        <v>1</v>
      </c>
      <c r="AB5" s="406"/>
      <c r="AC5" s="407"/>
      <c r="AD5" s="405" t="s">
        <v>0</v>
      </c>
      <c r="AE5" s="406"/>
      <c r="AF5" s="407"/>
      <c r="AG5" s="406" t="s">
        <v>1</v>
      </c>
      <c r="AH5" s="406"/>
      <c r="AI5" s="407"/>
      <c r="AJ5" s="405" t="s">
        <v>0</v>
      </c>
      <c r="AK5" s="406"/>
      <c r="AL5" s="407"/>
      <c r="AM5" s="406" t="s">
        <v>1</v>
      </c>
      <c r="AN5" s="406"/>
      <c r="AO5" s="407"/>
    </row>
    <row r="6" spans="2:41" x14ac:dyDescent="0.25">
      <c r="C6" t="s">
        <v>25</v>
      </c>
      <c r="D6" t="s">
        <v>24</v>
      </c>
      <c r="E6" t="s">
        <v>2</v>
      </c>
      <c r="F6" t="s">
        <v>26</v>
      </c>
      <c r="G6" t="s">
        <v>27</v>
      </c>
      <c r="H6" t="s">
        <v>152</v>
      </c>
      <c r="L6" s="13" t="s">
        <v>11</v>
      </c>
      <c r="M6" s="14" t="s">
        <v>12</v>
      </c>
      <c r="N6" s="15" t="s">
        <v>13</v>
      </c>
      <c r="O6" s="14" t="s">
        <v>11</v>
      </c>
      <c r="P6" s="14" t="s">
        <v>12</v>
      </c>
      <c r="Q6" s="15" t="s">
        <v>13</v>
      </c>
      <c r="R6" s="13" t="s">
        <v>11</v>
      </c>
      <c r="S6" s="14" t="s">
        <v>12</v>
      </c>
      <c r="T6" s="15" t="s">
        <v>13</v>
      </c>
      <c r="U6" s="14" t="s">
        <v>11</v>
      </c>
      <c r="V6" s="14" t="s">
        <v>12</v>
      </c>
      <c r="W6" s="15" t="s">
        <v>13</v>
      </c>
      <c r="X6" s="13" t="s">
        <v>11</v>
      </c>
      <c r="Y6" s="14" t="s">
        <v>12</v>
      </c>
      <c r="Z6" s="15" t="s">
        <v>13</v>
      </c>
      <c r="AA6" s="14" t="s">
        <v>11</v>
      </c>
      <c r="AB6" s="14" t="s">
        <v>12</v>
      </c>
      <c r="AC6" s="15" t="s">
        <v>13</v>
      </c>
      <c r="AD6" s="13" t="s">
        <v>11</v>
      </c>
      <c r="AE6" s="14" t="s">
        <v>12</v>
      </c>
      <c r="AF6" s="15" t="s">
        <v>13</v>
      </c>
      <c r="AG6" s="14" t="s">
        <v>11</v>
      </c>
      <c r="AH6" s="14" t="s">
        <v>12</v>
      </c>
      <c r="AI6" s="15" t="s">
        <v>13</v>
      </c>
      <c r="AJ6" s="13" t="s">
        <v>11</v>
      </c>
      <c r="AK6" s="14" t="s">
        <v>12</v>
      </c>
      <c r="AL6" s="15" t="s">
        <v>13</v>
      </c>
      <c r="AM6" s="14" t="s">
        <v>11</v>
      </c>
      <c r="AN6" s="14" t="s">
        <v>12</v>
      </c>
      <c r="AO6" s="15" t="s">
        <v>13</v>
      </c>
    </row>
    <row r="7" spans="2:41" x14ac:dyDescent="0.25">
      <c r="B7" t="s">
        <v>67</v>
      </c>
      <c r="C7" s="102">
        <v>9.7875387689694577E-3</v>
      </c>
      <c r="D7" s="103">
        <v>2.249052960033306E-2</v>
      </c>
      <c r="E7" s="103">
        <v>1.0832541342966675E-2</v>
      </c>
      <c r="F7" s="103">
        <v>3.2055076205084319E-2</v>
      </c>
      <c r="G7" s="103">
        <v>4.5999999999999999E-3</v>
      </c>
      <c r="H7" s="108">
        <v>2.1159285762841794E-4</v>
      </c>
      <c r="I7" s="18"/>
      <c r="J7" t="str">
        <f>INDEX(Lists!$F$4:$F$31,MATCH(K7,Lists!$G$4:$G$31,0),1)</f>
        <v>Austria</v>
      </c>
      <c r="K7" t="s">
        <v>67</v>
      </c>
      <c r="L7" s="7">
        <v>0.97558115191066408</v>
      </c>
      <c r="M7" s="8">
        <v>1.064883650755382</v>
      </c>
      <c r="N7" s="9">
        <v>1.129563784822551</v>
      </c>
      <c r="O7" s="7">
        <v>1.6690342925322015</v>
      </c>
      <c r="P7" s="8">
        <v>2.165922363580965</v>
      </c>
      <c r="Q7" s="9">
        <v>2.5324311914201152</v>
      </c>
      <c r="R7" s="7">
        <v>0.97908336800810536</v>
      </c>
      <c r="S7" s="8">
        <v>0.97075130240105933</v>
      </c>
      <c r="T7" s="9">
        <v>0.96976900336501959</v>
      </c>
      <c r="U7" s="7">
        <v>1.1818692774468536</v>
      </c>
      <c r="V7" s="8">
        <v>1.3329028633775599</v>
      </c>
      <c r="W7" s="9">
        <v>1.2478238638205656</v>
      </c>
      <c r="X7" s="7">
        <v>0.97326403931047911</v>
      </c>
      <c r="Y7" s="8">
        <v>1.006688910570005</v>
      </c>
      <c r="Z7" s="9">
        <v>1.022872365018006</v>
      </c>
      <c r="AA7" s="7">
        <v>1.4119632472788601</v>
      </c>
      <c r="AB7" s="8">
        <v>1.6431397940778436</v>
      </c>
      <c r="AC7" s="9">
        <v>1.6274087564425792</v>
      </c>
      <c r="AD7" s="7">
        <v>1.0324417145449072</v>
      </c>
      <c r="AE7" s="8">
        <v>1.0813797264949458</v>
      </c>
      <c r="AF7" s="9">
        <v>1.1601157175593753</v>
      </c>
      <c r="AG7" s="7">
        <v>2.4422340650190786</v>
      </c>
      <c r="AH7" s="8">
        <v>3.0084911987326834</v>
      </c>
      <c r="AI7" s="9">
        <v>2.8074922161004623</v>
      </c>
      <c r="AJ7" s="7">
        <v>1.220299309988143</v>
      </c>
      <c r="AK7" s="8">
        <v>1.4075188957539562</v>
      </c>
      <c r="AL7" s="9">
        <v>1.569992415348713</v>
      </c>
      <c r="AM7" s="7">
        <v>4.7353750326037725</v>
      </c>
      <c r="AN7" s="8">
        <v>4.4408641838594454</v>
      </c>
      <c r="AO7" s="9">
        <v>3.5866697200742506</v>
      </c>
    </row>
    <row r="8" spans="2:41" x14ac:dyDescent="0.25">
      <c r="B8" t="s">
        <v>29</v>
      </c>
      <c r="C8" s="104">
        <v>1.2418984696429434E-2</v>
      </c>
      <c r="D8" s="105">
        <v>2.9852632803076543E-2</v>
      </c>
      <c r="E8" s="105">
        <v>1.2923906644611656E-2</v>
      </c>
      <c r="F8" s="105">
        <v>4.496700462243991E-2</v>
      </c>
      <c r="G8" s="105">
        <v>2.8000000000000004E-3</v>
      </c>
      <c r="H8" s="109">
        <v>5.4980863990492456E-4</v>
      </c>
      <c r="I8" s="18"/>
      <c r="J8" t="str">
        <f>INDEX(Lists!$F$4:$F$31,MATCH(K8,Lists!$G$4:$G$31,0),1)</f>
        <v>Belgium</v>
      </c>
      <c r="K8" t="s">
        <v>29</v>
      </c>
      <c r="L8" s="7">
        <v>0.98065904359015388</v>
      </c>
      <c r="M8" s="8">
        <v>0.96393721983107261</v>
      </c>
      <c r="N8" s="9">
        <v>0.95225358000300353</v>
      </c>
      <c r="O8" s="7">
        <v>1.1954281948512584</v>
      </c>
      <c r="P8" s="8">
        <v>1.4201776211002328</v>
      </c>
      <c r="Q8" s="9">
        <v>1.4012433289065171</v>
      </c>
      <c r="R8" s="7">
        <v>1.103553170222225</v>
      </c>
      <c r="S8" s="8">
        <v>1.2445280368887461</v>
      </c>
      <c r="T8" s="9">
        <v>1.4812011592131888</v>
      </c>
      <c r="U8" s="7">
        <v>2.9409526864311761</v>
      </c>
      <c r="V8" s="8">
        <v>4.4782994326466463</v>
      </c>
      <c r="W8" s="9">
        <v>4.5486966323401505</v>
      </c>
      <c r="X8" s="7">
        <v>0.9603385259826861</v>
      </c>
      <c r="Y8" s="8">
        <v>0.95560556036324595</v>
      </c>
      <c r="Z8" s="9">
        <v>0.97573072166490438</v>
      </c>
      <c r="AA8" s="7">
        <v>1.5042358262581097</v>
      </c>
      <c r="AB8" s="8">
        <v>1.9308892974106922</v>
      </c>
      <c r="AC8" s="9">
        <v>2.0639884723215012</v>
      </c>
      <c r="AD8" s="7">
        <v>0.85231041613028113</v>
      </c>
      <c r="AE8" s="8">
        <v>0.89870655777539887</v>
      </c>
      <c r="AF8" s="9">
        <v>0.93452822829216597</v>
      </c>
      <c r="AG8" s="7">
        <v>1.8861919746188553</v>
      </c>
      <c r="AH8" s="8">
        <v>2.475968009438156</v>
      </c>
      <c r="AI8" s="9">
        <v>2.2108083316884519</v>
      </c>
      <c r="AJ8" s="7">
        <v>0.85039449086136032</v>
      </c>
      <c r="AK8" s="8">
        <v>0.85507076080653499</v>
      </c>
      <c r="AL8" s="9">
        <v>0.97501690609383473</v>
      </c>
      <c r="AM8" s="7">
        <v>3.0882937905530592</v>
      </c>
      <c r="AN8" s="8">
        <v>5.3348226634459612</v>
      </c>
      <c r="AO8" s="9">
        <v>4.5556000322342651</v>
      </c>
    </row>
    <row r="9" spans="2:41" x14ac:dyDescent="0.25">
      <c r="B9" t="s">
        <v>31</v>
      </c>
      <c r="C9" s="104">
        <v>2.2715781641739045E-2</v>
      </c>
      <c r="D9" s="105">
        <v>5.2479833435363693E-2</v>
      </c>
      <c r="E9" s="105">
        <v>1.3576337977857027E-2</v>
      </c>
      <c r="F9" s="105">
        <v>3.3382295480608663E-2</v>
      </c>
      <c r="G9" s="105">
        <v>5.3E-3</v>
      </c>
      <c r="H9" s="109">
        <v>2.3958205548695148E-3</v>
      </c>
      <c r="I9" s="18"/>
      <c r="J9" t="str">
        <f>INDEX(Lists!$F$4:$F$31,MATCH(K9,Lists!$G$4:$G$31,0),1)</f>
        <v>Bulgaria</v>
      </c>
      <c r="K9" t="s">
        <v>31</v>
      </c>
      <c r="L9" s="7">
        <v>0.94916197847489037</v>
      </c>
      <c r="M9" s="8">
        <v>0.9230543448300631</v>
      </c>
      <c r="N9" s="9">
        <v>0.88134461114098883</v>
      </c>
      <c r="O9" s="7">
        <v>1.8331981203006815</v>
      </c>
      <c r="P9" s="8">
        <v>1.7345685037499639</v>
      </c>
      <c r="Q9" s="9">
        <v>1.710246538478926</v>
      </c>
      <c r="R9" s="7">
        <v>1.1474723081405676</v>
      </c>
      <c r="S9" s="8">
        <v>0.9504592717174738</v>
      </c>
      <c r="T9" s="9">
        <v>0.94015574919043776</v>
      </c>
      <c r="U9" s="7">
        <v>2.588326934568554</v>
      </c>
      <c r="V9" s="8">
        <v>2.5062893884239088</v>
      </c>
      <c r="W9" s="9">
        <v>2.074683860649428</v>
      </c>
      <c r="X9" s="7">
        <v>0.97098834356704933</v>
      </c>
      <c r="Y9" s="8">
        <v>0.92919908062704559</v>
      </c>
      <c r="Z9" s="9">
        <v>0.87757971684705749</v>
      </c>
      <c r="AA9" s="7">
        <v>1.931472139279051</v>
      </c>
      <c r="AB9" s="8">
        <v>1.7247165766047725</v>
      </c>
      <c r="AC9" s="9">
        <v>1.3575214043669055</v>
      </c>
      <c r="AD9" s="7">
        <v>0.80069748582954026</v>
      </c>
      <c r="AE9" s="8">
        <v>0.88260566288272879</v>
      </c>
      <c r="AF9" s="9">
        <v>0.86858401020274933</v>
      </c>
      <c r="AG9" s="7">
        <v>2.8454076097170389</v>
      </c>
      <c r="AH9" s="8">
        <v>3.4218248362123234</v>
      </c>
      <c r="AI9" s="9">
        <v>1.9710447310354702</v>
      </c>
      <c r="AJ9" s="7">
        <v>1.1579771388358016</v>
      </c>
      <c r="AK9" s="8">
        <v>1.0967209793968136</v>
      </c>
      <c r="AL9" s="9">
        <v>1.0516474053832916</v>
      </c>
      <c r="AM9" s="7">
        <v>4.5090394618569842</v>
      </c>
      <c r="AN9" s="8">
        <v>3.4708258468926592</v>
      </c>
      <c r="AO9" s="9">
        <v>2.7953600820902098</v>
      </c>
    </row>
    <row r="10" spans="2:41" x14ac:dyDescent="0.25">
      <c r="B10" t="s">
        <v>53</v>
      </c>
      <c r="C10" s="104">
        <v>8.7777956226075038E-2</v>
      </c>
      <c r="D10" s="105">
        <v>9.6639258363521635E-2</v>
      </c>
      <c r="E10" s="105">
        <v>8.0846161200646527E-2</v>
      </c>
      <c r="F10" s="105">
        <v>8.2612550533183407E-2</v>
      </c>
      <c r="G10" s="105">
        <v>4.4299999999999999E-2</v>
      </c>
      <c r="H10" s="109">
        <v>3.5595941449420221E-3</v>
      </c>
      <c r="I10" s="18"/>
      <c r="J10" t="str">
        <f>INDEX(Lists!$F$4:$F$31,MATCH(K10,Lists!$G$4:$G$31,0),1)</f>
        <v>Cyprus</v>
      </c>
      <c r="K10" t="s">
        <v>53</v>
      </c>
      <c r="L10" s="7">
        <v>0.90335636635213779</v>
      </c>
      <c r="M10" s="8">
        <v>1.0294543000018497</v>
      </c>
      <c r="N10" s="9">
        <v>1.0854308832673429</v>
      </c>
      <c r="O10" s="7">
        <v>1.4239971665212656</v>
      </c>
      <c r="P10" s="8">
        <v>1.947733461278168</v>
      </c>
      <c r="Q10" s="9">
        <v>1.9034590337204067</v>
      </c>
      <c r="R10" s="7">
        <v>1.0030202581375245</v>
      </c>
      <c r="S10" s="8">
        <v>1.329467973008762</v>
      </c>
      <c r="T10" s="9">
        <v>1.4306718324604732</v>
      </c>
      <c r="U10" s="7">
        <v>2.5843386553073313</v>
      </c>
      <c r="V10" s="8">
        <v>3.0373032478259887</v>
      </c>
      <c r="W10" s="9">
        <v>2.5998405028174139</v>
      </c>
      <c r="X10" s="7">
        <v>1.4049835776111497</v>
      </c>
      <c r="Y10" s="8">
        <v>1.0478284274063725</v>
      </c>
      <c r="Z10" s="9">
        <v>1.3562771911026894</v>
      </c>
      <c r="AA10" s="7">
        <v>1.8272216231407576</v>
      </c>
      <c r="AB10" s="8">
        <v>1.4618230773004131</v>
      </c>
      <c r="AC10" s="9">
        <v>1.8844855819070041</v>
      </c>
      <c r="AD10" s="7">
        <v>0.85256355516456606</v>
      </c>
      <c r="AE10" s="8">
        <v>0.76411741153642743</v>
      </c>
      <c r="AF10" s="9">
        <v>0.71119249989800859</v>
      </c>
      <c r="AG10" s="7">
        <v>2.4335023337756576</v>
      </c>
      <c r="AH10" s="8">
        <v>3.079184255117922</v>
      </c>
      <c r="AI10" s="9">
        <v>2.5853550803798626</v>
      </c>
      <c r="AJ10" s="7">
        <v>0.90686753026290157</v>
      </c>
      <c r="AK10" s="8">
        <v>0.58574580036289292</v>
      </c>
      <c r="AL10" s="9">
        <v>0.51865478783542518</v>
      </c>
      <c r="AM10" s="7">
        <v>2.4235917728925882</v>
      </c>
      <c r="AN10" s="8">
        <v>1.7159166349315971</v>
      </c>
      <c r="AO10" s="9">
        <v>1.7159166349315971</v>
      </c>
    </row>
    <row r="11" spans="2:41" x14ac:dyDescent="0.25">
      <c r="B11" t="s">
        <v>33</v>
      </c>
      <c r="C11" s="104">
        <v>1.1683504043803078E-2</v>
      </c>
      <c r="D11" s="105">
        <v>2.7342409515596303E-2</v>
      </c>
      <c r="E11" s="105">
        <v>1.3561923680949566E-2</v>
      </c>
      <c r="F11" s="105">
        <v>4.4704288214744474E-2</v>
      </c>
      <c r="G11" s="105">
        <v>1.11E-2</v>
      </c>
      <c r="H11" s="109">
        <v>8.039177754026888E-4</v>
      </c>
      <c r="I11" s="18"/>
      <c r="J11" t="str">
        <f>INDEX(Lists!$F$4:$F$31,MATCH(K11,Lists!$G$4:$G$31,0),1)</f>
        <v>Czech Republic</v>
      </c>
      <c r="K11" t="s">
        <v>33</v>
      </c>
      <c r="L11" s="7">
        <v>1.0326716947367991</v>
      </c>
      <c r="M11" s="8">
        <v>1.4633287306084291</v>
      </c>
      <c r="N11" s="9">
        <v>1.7633516890065288</v>
      </c>
      <c r="O11" s="7">
        <v>1.986039534439108</v>
      </c>
      <c r="P11" s="8">
        <v>3.4060838627814709</v>
      </c>
      <c r="Q11" s="9">
        <v>2.9559829933051938</v>
      </c>
      <c r="R11" s="7">
        <v>1.2688016039415244</v>
      </c>
      <c r="S11" s="8">
        <v>1.3680868234870538</v>
      </c>
      <c r="T11" s="9">
        <v>1.8000814140565002</v>
      </c>
      <c r="U11" s="7">
        <v>2.9088563663139348</v>
      </c>
      <c r="V11" s="8">
        <v>3.4287133364843663</v>
      </c>
      <c r="W11" s="9">
        <v>5.6807969453657661</v>
      </c>
      <c r="X11" s="7">
        <v>0.86345744223312282</v>
      </c>
      <c r="Y11" s="8">
        <v>0.90714557557722908</v>
      </c>
      <c r="Z11" s="9">
        <v>0.96086502424766596</v>
      </c>
      <c r="AA11" s="7">
        <v>1.1308802622243401</v>
      </c>
      <c r="AB11" s="8">
        <v>1.3361185432574381</v>
      </c>
      <c r="AC11" s="9">
        <v>1.8573714409043505</v>
      </c>
      <c r="AD11" s="7">
        <v>1.0774056496690474</v>
      </c>
      <c r="AE11" s="8">
        <v>1.2284283865842949</v>
      </c>
      <c r="AF11" s="9">
        <v>1.2882318376103739</v>
      </c>
      <c r="AG11" s="7">
        <v>1.3834000496235934</v>
      </c>
      <c r="AH11" s="8">
        <v>1.9095492138200891</v>
      </c>
      <c r="AI11" s="9">
        <v>2.1644217194582107</v>
      </c>
      <c r="AJ11" s="7">
        <v>0.83468113494227447</v>
      </c>
      <c r="AK11" s="8">
        <v>0.78136697772020758</v>
      </c>
      <c r="AL11" s="9">
        <v>0.7110860077438218</v>
      </c>
      <c r="AM11" s="7">
        <v>3.324605846617847</v>
      </c>
      <c r="AN11" s="8">
        <v>2.1557465983671671</v>
      </c>
      <c r="AO11" s="9">
        <v>1.7159166349315971</v>
      </c>
    </row>
    <row r="12" spans="2:41" x14ac:dyDescent="0.25">
      <c r="B12" t="s">
        <v>37</v>
      </c>
      <c r="C12" s="104">
        <v>7.8934478787364946E-3</v>
      </c>
      <c r="D12" s="105">
        <v>3.7294968732670308E-3</v>
      </c>
      <c r="E12" s="105">
        <v>4.0000000000000001E-3</v>
      </c>
      <c r="F12" s="105">
        <v>3.4211901455298678E-3</v>
      </c>
      <c r="G12" s="105">
        <v>2.3999999999999998E-3</v>
      </c>
      <c r="H12" s="109">
        <v>7.1000000000000005E-5</v>
      </c>
      <c r="I12" s="18"/>
      <c r="J12" t="str">
        <f>INDEX(Lists!$F$4:$F$31,MATCH(K12,Lists!$G$4:$G$31,0),1)</f>
        <v>Germany</v>
      </c>
      <c r="K12" t="s">
        <v>37</v>
      </c>
      <c r="L12" s="7">
        <v>0.91518292743063046</v>
      </c>
      <c r="M12" s="8">
        <v>0.88509460076527435</v>
      </c>
      <c r="N12" s="9">
        <v>0.87015764905486892</v>
      </c>
      <c r="O12" s="7">
        <v>1.1896742075028894</v>
      </c>
      <c r="P12" s="8">
        <v>1.4382282868804654</v>
      </c>
      <c r="Q12" s="9">
        <v>1.377134790302986</v>
      </c>
      <c r="R12" s="7">
        <v>0.92723457525316122</v>
      </c>
      <c r="S12" s="8">
        <v>0.89286809366690711</v>
      </c>
      <c r="T12" s="9">
        <v>0.87427119334962644</v>
      </c>
      <c r="U12" s="7">
        <v>2.375827656619256</v>
      </c>
      <c r="V12" s="8">
        <v>3.3872576522725324</v>
      </c>
      <c r="W12" s="9">
        <v>2.9308999557587132</v>
      </c>
      <c r="X12" s="7">
        <v>1.0022247463204383</v>
      </c>
      <c r="Y12" s="8">
        <v>1.0305020238902967</v>
      </c>
      <c r="Z12" s="9">
        <v>1.0015432856443913</v>
      </c>
      <c r="AA12" s="7">
        <v>2.2727859462943147</v>
      </c>
      <c r="AB12" s="8">
        <v>2.9030232006649812</v>
      </c>
      <c r="AC12" s="9">
        <v>3.0673838905755657</v>
      </c>
      <c r="AD12" s="7">
        <v>0.86290220407200624</v>
      </c>
      <c r="AE12" s="8">
        <v>0.80015912506682429</v>
      </c>
      <c r="AF12" s="9">
        <v>0.729850184534375</v>
      </c>
      <c r="AG12" s="7">
        <v>2.2595603591514166</v>
      </c>
      <c r="AH12" s="8">
        <v>3.0854590437804825</v>
      </c>
      <c r="AI12" s="9">
        <v>2.7122295941926549</v>
      </c>
      <c r="AJ12" s="7">
        <v>1.3152537814812948</v>
      </c>
      <c r="AK12" s="8">
        <v>1.6236191122958206</v>
      </c>
      <c r="AL12" s="9">
        <v>1.9483672293934213</v>
      </c>
      <c r="AM12" s="7">
        <v>3.7658546243485418</v>
      </c>
      <c r="AN12" s="8">
        <v>4.3070580407312917</v>
      </c>
      <c r="AO12" s="9">
        <v>4.9897858111206661</v>
      </c>
    </row>
    <row r="13" spans="2:41" x14ac:dyDescent="0.25">
      <c r="B13" t="s">
        <v>35</v>
      </c>
      <c r="C13" s="104">
        <v>2.7824888338575798E-2</v>
      </c>
      <c r="D13" s="105">
        <v>4.8954388664647457E-2</v>
      </c>
      <c r="E13" s="105">
        <v>1.6279718583234574E-2</v>
      </c>
      <c r="F13" s="105">
        <v>3.5169800913975091E-2</v>
      </c>
      <c r="G13" s="105">
        <v>2.2000000000000001E-3</v>
      </c>
      <c r="H13" s="109">
        <v>7.1000000000000005E-5</v>
      </c>
      <c r="I13" s="18"/>
      <c r="J13" t="str">
        <f>INDEX(Lists!$F$4:$F$31,MATCH(K13,Lists!$G$4:$G$31,0),1)</f>
        <v>Denmark</v>
      </c>
      <c r="K13" t="s">
        <v>35</v>
      </c>
      <c r="L13" s="7">
        <v>0.86010058023703084</v>
      </c>
      <c r="M13" s="8">
        <v>0.67588165248422027</v>
      </c>
      <c r="N13" s="9">
        <v>0.6298752197160653</v>
      </c>
      <c r="O13" s="7">
        <v>1.5785355788368456</v>
      </c>
      <c r="P13" s="8">
        <v>1.5384570947469329</v>
      </c>
      <c r="Q13" s="9">
        <v>1.56203357732425</v>
      </c>
      <c r="R13" s="7">
        <v>0.98888960362140177</v>
      </c>
      <c r="S13" s="8">
        <v>1.0055309052156207</v>
      </c>
      <c r="T13" s="9">
        <v>1.0108448038373363</v>
      </c>
      <c r="U13" s="7">
        <v>2.1754943751133018</v>
      </c>
      <c r="V13" s="8">
        <v>2.6922468395296502</v>
      </c>
      <c r="W13" s="9">
        <v>2.8623627766493676</v>
      </c>
      <c r="X13" s="7">
        <v>0.95619569205103905</v>
      </c>
      <c r="Y13" s="8">
        <v>0.9592072300149701</v>
      </c>
      <c r="Z13" s="9">
        <v>0.95627983079369094</v>
      </c>
      <c r="AA13" s="7">
        <v>1.6996453681267512</v>
      </c>
      <c r="AB13" s="8">
        <v>2.0688490439988501</v>
      </c>
      <c r="AC13" s="9">
        <v>1.7286112704474208</v>
      </c>
      <c r="AD13" s="7">
        <v>0.98222388089279966</v>
      </c>
      <c r="AE13" s="8">
        <v>1.008612998748849</v>
      </c>
      <c r="AF13" s="9">
        <v>1.0056425182593838</v>
      </c>
      <c r="AG13" s="7">
        <v>2.6004658028254033</v>
      </c>
      <c r="AH13" s="8">
        <v>4.5592277951872093</v>
      </c>
      <c r="AI13" s="9">
        <v>2.6592327701213851</v>
      </c>
      <c r="AJ13" s="7">
        <v>1.1790077224566837</v>
      </c>
      <c r="AK13" s="8">
        <v>1.3004685490387051</v>
      </c>
      <c r="AL13" s="9">
        <v>1.4081282247506544</v>
      </c>
      <c r="AM13" s="7">
        <v>4.0862103044073619</v>
      </c>
      <c r="AN13" s="8">
        <v>5.1600795403063087</v>
      </c>
      <c r="AO13" s="9">
        <v>4.4800641785620074</v>
      </c>
    </row>
    <row r="14" spans="2:41" x14ac:dyDescent="0.25">
      <c r="B14" t="s">
        <v>39</v>
      </c>
      <c r="C14" s="104">
        <v>8.202629467536398E-3</v>
      </c>
      <c r="D14" s="105">
        <v>2.7502510126987834E-2</v>
      </c>
      <c r="E14" s="105">
        <v>1.5121850452895221E-2</v>
      </c>
      <c r="F14" s="105">
        <v>4.2188224674767121E-2</v>
      </c>
      <c r="G14" s="105">
        <v>5.3E-3</v>
      </c>
      <c r="H14" s="109">
        <v>7.5915305299957385E-4</v>
      </c>
      <c r="I14" s="18"/>
      <c r="J14" t="str">
        <f>INDEX(Lists!$F$4:$F$31,MATCH(K14,Lists!$G$4:$G$31,0),1)</f>
        <v>Estonia</v>
      </c>
      <c r="K14" t="s">
        <v>39</v>
      </c>
      <c r="L14" s="7">
        <v>0.79063016129209529</v>
      </c>
      <c r="M14" s="8">
        <v>0.88009363735452129</v>
      </c>
      <c r="N14" s="9">
        <v>0.90521168585566747</v>
      </c>
      <c r="O14" s="7">
        <v>1.6076692289781243</v>
      </c>
      <c r="P14" s="8">
        <v>2.6012476096028085</v>
      </c>
      <c r="Q14" s="9">
        <v>2.5097961840427669</v>
      </c>
      <c r="R14" s="7">
        <v>0.92572290842438476</v>
      </c>
      <c r="S14" s="8">
        <v>1.0720420510200521</v>
      </c>
      <c r="T14" s="9">
        <v>1.1608757933098646</v>
      </c>
      <c r="U14" s="7">
        <v>3.1607179163482528</v>
      </c>
      <c r="V14" s="8">
        <v>4.5984719814911132</v>
      </c>
      <c r="W14" s="9">
        <v>4.9529113809228882</v>
      </c>
      <c r="X14" s="7">
        <v>0.53225956628598581</v>
      </c>
      <c r="Y14" s="8">
        <v>0.80078554470851881</v>
      </c>
      <c r="Z14" s="9">
        <v>0.77497051967221953</v>
      </c>
      <c r="AA14" s="7">
        <v>1.4785729282467541</v>
      </c>
      <c r="AB14" s="8">
        <v>1.8376033929290663</v>
      </c>
      <c r="AC14" s="9">
        <v>1.9395642934007065</v>
      </c>
      <c r="AD14" s="7">
        <v>0.62555459677356728</v>
      </c>
      <c r="AE14" s="8">
        <v>0.7942356316497593</v>
      </c>
      <c r="AF14" s="9">
        <v>0.98482639011541784</v>
      </c>
      <c r="AG14" s="7">
        <v>2.1071131531429734</v>
      </c>
      <c r="AH14" s="8">
        <v>2.4891591387799812</v>
      </c>
      <c r="AI14" s="9">
        <v>2.3780958924476723</v>
      </c>
      <c r="AJ14" s="7">
        <v>1.1614502884577993</v>
      </c>
      <c r="AK14" s="8">
        <v>0.98720379642844769</v>
      </c>
      <c r="AL14" s="9">
        <v>0.92679676224540553</v>
      </c>
      <c r="AM14" s="7">
        <v>3.9503185624631256</v>
      </c>
      <c r="AN14" s="8">
        <v>3.1980665976778355</v>
      </c>
      <c r="AO14" s="9">
        <v>2.611656646263103</v>
      </c>
    </row>
    <row r="15" spans="2:41" x14ac:dyDescent="0.25">
      <c r="B15" t="s">
        <v>45</v>
      </c>
      <c r="C15" s="104">
        <v>7.4454978618914381E-3</v>
      </c>
      <c r="D15" s="105">
        <v>2.7527457867099599E-2</v>
      </c>
      <c r="E15" s="105">
        <v>9.1559382220839456E-3</v>
      </c>
      <c r="F15" s="105">
        <v>1.5158656372249068E-2</v>
      </c>
      <c r="G15" s="105">
        <v>4.8999999999999998E-3</v>
      </c>
      <c r="H15" s="109">
        <v>2.0040853517089728E-3</v>
      </c>
      <c r="I15" s="18"/>
      <c r="J15" t="str">
        <f>INDEX(Lists!$F$4:$F$31,MATCH(K15,Lists!$G$4:$G$31,0),1)</f>
        <v>Spain</v>
      </c>
      <c r="K15" t="s">
        <v>45</v>
      </c>
      <c r="L15" s="7">
        <v>0.88132088224308458</v>
      </c>
      <c r="M15" s="8">
        <v>0.8825960733472239</v>
      </c>
      <c r="N15" s="9">
        <v>0.95448872807731733</v>
      </c>
      <c r="O15" s="7">
        <v>3.1691019297893228</v>
      </c>
      <c r="P15" s="8">
        <v>4.5836818668149721</v>
      </c>
      <c r="Q15" s="9">
        <v>4.0426098209401973</v>
      </c>
      <c r="R15" s="7">
        <v>0.96701772841964051</v>
      </c>
      <c r="S15" s="8">
        <v>0.98062648964754184</v>
      </c>
      <c r="T15" s="9">
        <v>1.0187763570375805</v>
      </c>
      <c r="U15" s="7">
        <v>2.864152984231171</v>
      </c>
      <c r="V15" s="8">
        <v>4.4554826752090362</v>
      </c>
      <c r="W15" s="9">
        <v>5.4663290711082295</v>
      </c>
      <c r="X15" s="7">
        <v>0.81449831146841334</v>
      </c>
      <c r="Y15" s="8">
        <v>0.72455965607001316</v>
      </c>
      <c r="Z15" s="9">
        <v>0.70579556062139504</v>
      </c>
      <c r="AA15" s="7">
        <v>2.4108039414120883</v>
      </c>
      <c r="AB15" s="8">
        <v>2.5994193613885193</v>
      </c>
      <c r="AC15" s="9">
        <v>2.7382201399062325</v>
      </c>
      <c r="AD15" s="7">
        <v>0.86813640416925253</v>
      </c>
      <c r="AE15" s="8">
        <v>0.77969417463241686</v>
      </c>
      <c r="AF15" s="9">
        <v>0.73285108018511269</v>
      </c>
      <c r="AG15" s="7">
        <v>2.2631851116219757</v>
      </c>
      <c r="AH15" s="8">
        <v>2.3976418926136591</v>
      </c>
      <c r="AI15" s="9">
        <v>2.802891815854851</v>
      </c>
      <c r="AJ15" s="7">
        <v>0.84179760627588152</v>
      </c>
      <c r="AK15" s="8">
        <v>0.93634505468531193</v>
      </c>
      <c r="AL15" s="9">
        <v>0.82289439741835257</v>
      </c>
      <c r="AM15" s="7">
        <v>4.2575671107481838</v>
      </c>
      <c r="AN15" s="8">
        <v>3.4746476513807196</v>
      </c>
      <c r="AO15" s="9">
        <v>1.9777478441376815</v>
      </c>
    </row>
    <row r="16" spans="2:41" x14ac:dyDescent="0.25">
      <c r="B16" t="s">
        <v>78</v>
      </c>
      <c r="C16" s="104">
        <v>1.2785425302441207E-2</v>
      </c>
      <c r="D16" s="105">
        <v>4.7709267584036791E-2</v>
      </c>
      <c r="E16" s="105">
        <v>1.3856379399141559E-2</v>
      </c>
      <c r="F16" s="105">
        <v>4.0846275686450211E-2</v>
      </c>
      <c r="G16" s="105">
        <v>2.5999999999999999E-3</v>
      </c>
      <c r="H16" s="109">
        <v>2.1159285762841794E-4</v>
      </c>
      <c r="I16" s="18"/>
      <c r="J16" t="str">
        <f>INDEX(Lists!$F$4:$F$31,MATCH(K16,Lists!$G$4:$G$31,0),1)</f>
        <v>Finland</v>
      </c>
      <c r="K16" t="s">
        <v>78</v>
      </c>
      <c r="L16" s="7">
        <v>0.9667402778206069</v>
      </c>
      <c r="M16" s="8">
        <v>1.0179767424678019</v>
      </c>
      <c r="N16" s="9">
        <v>0.98685061191081358</v>
      </c>
      <c r="O16" s="7">
        <v>1.5322053791000816</v>
      </c>
      <c r="P16" s="8">
        <v>2.2319596161260291</v>
      </c>
      <c r="Q16" s="9">
        <v>1.9961534206199538</v>
      </c>
      <c r="R16" s="7">
        <v>1.0288836293345822</v>
      </c>
      <c r="S16" s="8">
        <v>1.03629690687314</v>
      </c>
      <c r="T16" s="9">
        <v>1.0382870532114927</v>
      </c>
      <c r="U16" s="7">
        <v>2.1498777934055324</v>
      </c>
      <c r="V16" s="8">
        <v>2.6380380818181806</v>
      </c>
      <c r="W16" s="9">
        <v>2.3459411652625475</v>
      </c>
      <c r="X16" s="7">
        <v>0.98979442502820936</v>
      </c>
      <c r="Y16" s="8">
        <v>0.99183581086953432</v>
      </c>
      <c r="Z16" s="9">
        <v>0.99425901949827067</v>
      </c>
      <c r="AA16" s="7">
        <v>1.5876279975698211</v>
      </c>
      <c r="AB16" s="8">
        <v>1.9118274862669349</v>
      </c>
      <c r="AC16" s="9">
        <v>1.8370937018251297</v>
      </c>
      <c r="AD16" s="7">
        <v>0.92931674843197998</v>
      </c>
      <c r="AE16" s="8">
        <v>1.0163502904455526</v>
      </c>
      <c r="AF16" s="9">
        <v>1.0534589786752728</v>
      </c>
      <c r="AG16" s="7">
        <v>2.1276970989228072</v>
      </c>
      <c r="AH16" s="8">
        <v>2.7212798181633926</v>
      </c>
      <c r="AI16" s="9">
        <v>2.3024272820261165</v>
      </c>
      <c r="AJ16" s="7">
        <v>1.2001104492587811</v>
      </c>
      <c r="AK16" s="8">
        <v>1.348495776526027</v>
      </c>
      <c r="AL16" s="9">
        <v>1.4510648348818838</v>
      </c>
      <c r="AM16" s="7">
        <v>4.870762793093534</v>
      </c>
      <c r="AN16" s="8">
        <v>4.9655289916402792</v>
      </c>
      <c r="AO16" s="9">
        <v>4.6211948584313456</v>
      </c>
    </row>
    <row r="17" spans="2:41" x14ac:dyDescent="0.25">
      <c r="B17" t="s">
        <v>47</v>
      </c>
      <c r="C17" s="104">
        <v>1.0874176910170719E-2</v>
      </c>
      <c r="D17" s="105">
        <v>4.068283242713408E-2</v>
      </c>
      <c r="E17" s="105">
        <v>1.6308639558196003E-2</v>
      </c>
      <c r="F17" s="105">
        <v>4.463036699537571E-2</v>
      </c>
      <c r="G17" s="105">
        <v>3.4999999999999996E-3</v>
      </c>
      <c r="H17" s="109">
        <v>4.0078842780389464E-4</v>
      </c>
      <c r="I17" s="18"/>
      <c r="J17" t="str">
        <f>INDEX(Lists!$F$4:$F$31,MATCH(K17,Lists!$G$4:$G$31,0),1)</f>
        <v>France</v>
      </c>
      <c r="K17" t="s">
        <v>47</v>
      </c>
      <c r="L17" s="7">
        <v>0.99466478206732889</v>
      </c>
      <c r="M17" s="8">
        <v>0.98917984234844913</v>
      </c>
      <c r="N17" s="9">
        <v>1.0001185525362177</v>
      </c>
      <c r="O17" s="7">
        <v>1.404304810540584</v>
      </c>
      <c r="P17" s="8">
        <v>1.4846025262102451</v>
      </c>
      <c r="Q17" s="9">
        <v>1.3662228533504743</v>
      </c>
      <c r="R17" s="7">
        <v>1.001443782113699</v>
      </c>
      <c r="S17" s="8">
        <v>1.1581733143330009</v>
      </c>
      <c r="T17" s="9">
        <v>1.2158867980157306</v>
      </c>
      <c r="U17" s="7">
        <v>2.2758486301400498</v>
      </c>
      <c r="V17" s="8">
        <v>3.1742443027507505</v>
      </c>
      <c r="W17" s="9">
        <v>2.2570289953332274</v>
      </c>
      <c r="X17" s="7">
        <v>1.0124650180455241</v>
      </c>
      <c r="Y17" s="8">
        <v>1.0018643573341719</v>
      </c>
      <c r="Z17" s="9">
        <v>0.99216879471028185</v>
      </c>
      <c r="AA17" s="7">
        <v>1.5002985184981954</v>
      </c>
      <c r="AB17" s="8">
        <v>1.6553815168864225</v>
      </c>
      <c r="AC17" s="9">
        <v>1.5615652116656209</v>
      </c>
      <c r="AD17" s="7">
        <v>0.93079187652352258</v>
      </c>
      <c r="AE17" s="8">
        <v>0.90698783107192049</v>
      </c>
      <c r="AF17" s="9">
        <v>0.91783085390416985</v>
      </c>
      <c r="AG17" s="7">
        <v>1.8029078860673513</v>
      </c>
      <c r="AH17" s="8">
        <v>2.085295083745947</v>
      </c>
      <c r="AI17" s="9">
        <v>1.9839171691840636</v>
      </c>
      <c r="AJ17" s="7">
        <v>0.93278180236940134</v>
      </c>
      <c r="AK17" s="8">
        <v>0.8784172478566642</v>
      </c>
      <c r="AL17" s="9">
        <v>0.92788494385529707</v>
      </c>
      <c r="AM17" s="7">
        <v>3.4346682472765577</v>
      </c>
      <c r="AN17" s="8">
        <v>2.423700207810636</v>
      </c>
      <c r="AO17" s="9">
        <v>2.2902988736267114</v>
      </c>
    </row>
    <row r="18" spans="2:41" x14ac:dyDescent="0.25">
      <c r="B18" t="s">
        <v>82</v>
      </c>
      <c r="C18" s="104">
        <v>4.3003717175471847E-3</v>
      </c>
      <c r="D18" s="105">
        <v>3.1250552650711069E-2</v>
      </c>
      <c r="E18" s="105">
        <v>5.5262747519993008E-3</v>
      </c>
      <c r="F18" s="105">
        <v>3.389745999233644E-2</v>
      </c>
      <c r="G18" s="105">
        <v>4.0999999999999995E-3</v>
      </c>
      <c r="H18" s="109">
        <v>4.0078842780389464E-4</v>
      </c>
      <c r="I18" s="18"/>
      <c r="J18" t="str">
        <f>INDEX(Lists!$F$4:$F$31,MATCH(K18,Lists!$G$4:$G$31,0),1)</f>
        <v>United Kingdom</v>
      </c>
      <c r="K18" t="s">
        <v>82</v>
      </c>
      <c r="L18" s="7">
        <v>0.9997304491050043</v>
      </c>
      <c r="M18" s="8">
        <v>1.0148751307310515</v>
      </c>
      <c r="N18" s="9">
        <v>1.0327009133543834</v>
      </c>
      <c r="O18" s="7">
        <v>1.419629449578673</v>
      </c>
      <c r="P18" s="8">
        <v>1.7411304019370988</v>
      </c>
      <c r="Q18" s="9">
        <v>1.7706489757670867</v>
      </c>
      <c r="R18" s="7">
        <v>1.1844753087412221</v>
      </c>
      <c r="S18" s="8">
        <v>1.5101270680551968</v>
      </c>
      <c r="T18" s="9">
        <v>1.6521445322319124</v>
      </c>
      <c r="U18" s="7">
        <v>3.169943157914064</v>
      </c>
      <c r="V18" s="8">
        <v>5.4820783329208727</v>
      </c>
      <c r="W18" s="9">
        <v>4.3132690643004903</v>
      </c>
      <c r="X18" s="7">
        <v>0.98151816316222196</v>
      </c>
      <c r="Y18" s="8">
        <v>1.026491286862814</v>
      </c>
      <c r="Z18" s="9">
        <v>1.0667284669771562</v>
      </c>
      <c r="AA18" s="7">
        <v>1.5293783711107831</v>
      </c>
      <c r="AB18" s="8">
        <v>2.1509659946978004</v>
      </c>
      <c r="AC18" s="9">
        <v>2.5132562386335042</v>
      </c>
      <c r="AD18" s="7">
        <v>1.0829297127858513</v>
      </c>
      <c r="AE18" s="8">
        <v>1.119910625995935</v>
      </c>
      <c r="AF18" s="9">
        <v>1.1209715427482219</v>
      </c>
      <c r="AG18" s="7">
        <v>2.9747384730299529</v>
      </c>
      <c r="AH18" s="8">
        <v>3.7087262687664975</v>
      </c>
      <c r="AI18" s="9">
        <v>2.5589467580010621</v>
      </c>
      <c r="AJ18" s="7">
        <v>1.1855724197020221</v>
      </c>
      <c r="AK18" s="8">
        <v>1.3027485489397652</v>
      </c>
      <c r="AL18" s="9">
        <v>1.3859271459095457</v>
      </c>
      <c r="AM18" s="7">
        <v>4.3552919232005873</v>
      </c>
      <c r="AN18" s="8">
        <v>4.2251339600128208</v>
      </c>
      <c r="AO18" s="9">
        <v>4.0638528252761468</v>
      </c>
    </row>
    <row r="19" spans="2:41" x14ac:dyDescent="0.25">
      <c r="B19" t="s">
        <v>43</v>
      </c>
      <c r="C19" s="104">
        <v>3.7743068936603098E-2</v>
      </c>
      <c r="D19" s="105">
        <v>0.14238224128726157</v>
      </c>
      <c r="E19" s="105">
        <v>1.1070795643554425E-2</v>
      </c>
      <c r="F19" s="105">
        <v>1.5921069487575129E-2</v>
      </c>
      <c r="G19" s="105">
        <v>4.4299999999999999E-2</v>
      </c>
      <c r="H19" s="109">
        <v>6.0930436887565796E-2</v>
      </c>
      <c r="I19" s="18"/>
      <c r="J19" t="str">
        <f>INDEX(Lists!$F$4:$F$31,MATCH(K19,Lists!$G$4:$G$31,0),1)</f>
        <v>Greece</v>
      </c>
      <c r="K19" t="s">
        <v>43</v>
      </c>
      <c r="L19" s="7">
        <v>0.74766474426911045</v>
      </c>
      <c r="M19" s="8">
        <v>0.65715914963526745</v>
      </c>
      <c r="N19" s="9">
        <v>0.63505397617083803</v>
      </c>
      <c r="O19" s="7">
        <v>1.4447039924250868</v>
      </c>
      <c r="P19" s="8">
        <v>2.0409503345181985</v>
      </c>
      <c r="Q19" s="9">
        <v>1.614354655078106</v>
      </c>
      <c r="R19" s="7">
        <v>0.89935409965599722</v>
      </c>
      <c r="S19" s="8">
        <v>0.91036398994978807</v>
      </c>
      <c r="T19" s="9">
        <v>0.84553609168150612</v>
      </c>
      <c r="U19" s="7">
        <v>2.158235746151842</v>
      </c>
      <c r="V19" s="8">
        <v>2.6985655009495813</v>
      </c>
      <c r="W19" s="9">
        <v>2.8853848950691439</v>
      </c>
      <c r="X19" s="7">
        <v>0.94550645557763013</v>
      </c>
      <c r="Y19" s="8">
        <v>0.9271809907234525</v>
      </c>
      <c r="Z19" s="9">
        <v>0.90945451973279123</v>
      </c>
      <c r="AA19" s="7">
        <v>2.9370163982841269</v>
      </c>
      <c r="AB19" s="8">
        <v>2.6648521417398552</v>
      </c>
      <c r="AC19" s="9">
        <v>2.6650355136785153</v>
      </c>
      <c r="AD19" s="7">
        <v>0.97222505239840995</v>
      </c>
      <c r="AE19" s="8">
        <v>0.96591966597681089</v>
      </c>
      <c r="AF19" s="9">
        <v>0.9523206236209647</v>
      </c>
      <c r="AG19" s="7">
        <v>2.6280414496966813</v>
      </c>
      <c r="AH19" s="8">
        <v>1.9269310333223608</v>
      </c>
      <c r="AI19" s="9">
        <v>1.8582369058192985</v>
      </c>
      <c r="AJ19" s="7">
        <v>0.86925595635429664</v>
      </c>
      <c r="AK19" s="8">
        <v>0.56550353404214027</v>
      </c>
      <c r="AL19" s="9">
        <v>0.53808180034259334</v>
      </c>
      <c r="AM19" s="7">
        <v>3.4989070063270487</v>
      </c>
      <c r="AN19" s="8">
        <v>2.1627555486525121</v>
      </c>
      <c r="AO19" s="9">
        <v>2.2776471403552909</v>
      </c>
    </row>
    <row r="20" spans="2:41" x14ac:dyDescent="0.25">
      <c r="B20" t="s">
        <v>49</v>
      </c>
      <c r="C20" s="104">
        <v>2.9098475499801092E-2</v>
      </c>
      <c r="D20" s="105">
        <v>8.9364629480205016E-2</v>
      </c>
      <c r="E20" s="105">
        <v>2.3433667454335207E-2</v>
      </c>
      <c r="F20" s="105">
        <v>4.3815119835999984E-2</v>
      </c>
      <c r="G20" s="105">
        <v>8.3250000000000008E-3</v>
      </c>
      <c r="H20" s="109">
        <v>3.5595941449420221E-3</v>
      </c>
      <c r="I20" s="18"/>
      <c r="J20" t="str">
        <f>INDEX(Lists!$F$4:$F$31,MATCH(K20,Lists!$G$4:$G$31,0),1)</f>
        <v>Croatia</v>
      </c>
      <c r="K20" t="s">
        <v>49</v>
      </c>
      <c r="L20" s="7">
        <v>0.81958675743208642</v>
      </c>
      <c r="M20" s="8">
        <v>0.78192019393142842</v>
      </c>
      <c r="N20" s="9">
        <v>0.79594393475440672</v>
      </c>
      <c r="O20" s="7">
        <v>1.5474694775197981</v>
      </c>
      <c r="P20" s="8">
        <v>2.0277221132889327</v>
      </c>
      <c r="Q20" s="9">
        <v>1.392819361523252</v>
      </c>
      <c r="R20" s="7">
        <v>0.6927578088232168</v>
      </c>
      <c r="S20" s="8">
        <v>0.82358659771328735</v>
      </c>
      <c r="T20" s="9">
        <v>0.82947193409259923</v>
      </c>
      <c r="U20" s="7">
        <v>1.4196740813769804</v>
      </c>
      <c r="V20" s="8">
        <v>1.4875916571332823</v>
      </c>
      <c r="W20" s="9">
        <v>1.9832084893518112</v>
      </c>
      <c r="X20" s="7">
        <v>0.66935130310626678</v>
      </c>
      <c r="Y20" s="8">
        <v>0.66324126654580207</v>
      </c>
      <c r="Z20" s="9">
        <v>0.6377212142398373</v>
      </c>
      <c r="AA20" s="7">
        <v>1.2818619782686043</v>
      </c>
      <c r="AB20" s="8">
        <v>1.3776667143651089</v>
      </c>
      <c r="AC20" s="9">
        <v>1.2818619782686043</v>
      </c>
      <c r="AD20" s="7">
        <v>0.81856160866387029</v>
      </c>
      <c r="AE20" s="8">
        <v>0.85802674751897412</v>
      </c>
      <c r="AF20" s="9">
        <v>0.97357707029639462</v>
      </c>
      <c r="AG20" s="7">
        <v>2.2054996222128067</v>
      </c>
      <c r="AH20" s="8">
        <v>2.6887486934040163</v>
      </c>
      <c r="AI20" s="9">
        <v>1.9339407005339311</v>
      </c>
      <c r="AJ20" s="7">
        <v>0.99249509289696636</v>
      </c>
      <c r="AK20" s="8">
        <v>1.0882495315759675</v>
      </c>
      <c r="AL20" s="9">
        <v>1.1359266604335616</v>
      </c>
      <c r="AM20" s="7">
        <v>3.453825824277108</v>
      </c>
      <c r="AN20" s="8">
        <v>2.7601142016051021</v>
      </c>
      <c r="AO20" s="9">
        <v>2.1081519921347107</v>
      </c>
    </row>
    <row r="21" spans="2:41" x14ac:dyDescent="0.25">
      <c r="B21" t="s">
        <v>61</v>
      </c>
      <c r="C21" s="104">
        <v>2.2814039885416023E-2</v>
      </c>
      <c r="D21" s="105">
        <v>3.3608516063618289E-2</v>
      </c>
      <c r="E21" s="105">
        <v>1.9543894157309734E-2</v>
      </c>
      <c r="F21" s="105">
        <v>3.505203479641042E-2</v>
      </c>
      <c r="G21" s="105">
        <v>4.7999999999999996E-3</v>
      </c>
      <c r="H21" s="109">
        <v>2.6709044318184321E-3</v>
      </c>
      <c r="I21" s="18"/>
      <c r="J21" t="str">
        <f>INDEX(Lists!$F$4:$F$31,MATCH(K21,Lists!$G$4:$G$31,0),1)</f>
        <v>Hungary</v>
      </c>
      <c r="K21" t="s">
        <v>61</v>
      </c>
      <c r="L21" s="7">
        <v>1.1220090501746256</v>
      </c>
      <c r="M21" s="8">
        <v>1.2994439208912074</v>
      </c>
      <c r="N21" s="9">
        <v>1.3528125695534976</v>
      </c>
      <c r="O21" s="7">
        <v>1.6814266032708047</v>
      </c>
      <c r="P21" s="8">
        <v>2.109876321458978</v>
      </c>
      <c r="Q21" s="9">
        <v>2.318405306571369</v>
      </c>
      <c r="R21" s="7">
        <v>0.95120439843557636</v>
      </c>
      <c r="S21" s="8">
        <v>1.0616181270202945</v>
      </c>
      <c r="T21" s="9">
        <v>1.0772103115625626</v>
      </c>
      <c r="U21" s="7">
        <v>2.2161179862520992</v>
      </c>
      <c r="V21" s="8">
        <v>3.2304983451740306</v>
      </c>
      <c r="W21" s="9">
        <v>4.1552389697143495</v>
      </c>
      <c r="X21" s="7">
        <v>0.77105338367209897</v>
      </c>
      <c r="Y21" s="8">
        <v>0.85567692968747011</v>
      </c>
      <c r="Z21" s="9">
        <v>0.81469855181996698</v>
      </c>
      <c r="AA21" s="7">
        <v>1.5206194491017164</v>
      </c>
      <c r="AB21" s="8">
        <v>1.820930012679989</v>
      </c>
      <c r="AC21" s="9">
        <v>1.4521445769214176</v>
      </c>
      <c r="AD21" s="7">
        <v>0.87956527200032997</v>
      </c>
      <c r="AE21" s="8">
        <v>0.87721018081900692</v>
      </c>
      <c r="AF21" s="9">
        <v>0.87592868212686037</v>
      </c>
      <c r="AG21" s="7">
        <v>2.1311891756259644</v>
      </c>
      <c r="AH21" s="8">
        <v>3.043640128724995</v>
      </c>
      <c r="AI21" s="9">
        <v>2.1139335636919214</v>
      </c>
      <c r="AJ21" s="7">
        <v>1.6997024060195967</v>
      </c>
      <c r="AK21" s="8">
        <v>1.3883878717906954</v>
      </c>
      <c r="AL21" s="9">
        <v>1.6090824179813303</v>
      </c>
      <c r="AM21" s="7">
        <v>2.0785525078337841</v>
      </c>
      <c r="AN21" s="8">
        <v>1.6194745027829802</v>
      </c>
      <c r="AO21" s="9">
        <v>1.897002270656315</v>
      </c>
    </row>
    <row r="22" spans="2:41" x14ac:dyDescent="0.25">
      <c r="B22" t="s">
        <v>41</v>
      </c>
      <c r="C22" s="104">
        <v>2.9802862401489428E-2</v>
      </c>
      <c r="D22" s="105">
        <v>5.8690127367625224E-2</v>
      </c>
      <c r="E22" s="105">
        <v>9.8387072086321328E-3</v>
      </c>
      <c r="F22" s="105">
        <v>3.0269121894235557E-2</v>
      </c>
      <c r="G22" s="105">
        <v>2.06E-2</v>
      </c>
      <c r="H22" s="109">
        <v>9.921381388768389E-4</v>
      </c>
      <c r="I22" s="18"/>
      <c r="J22" t="str">
        <f>INDEX(Lists!$F$4:$F$31,MATCH(K22,Lists!$G$4:$G$31,0),1)</f>
        <v>Ireland</v>
      </c>
      <c r="K22" t="s">
        <v>41</v>
      </c>
      <c r="L22" s="7">
        <v>0.74513959390647633</v>
      </c>
      <c r="M22" s="8">
        <v>0.57830981827319894</v>
      </c>
      <c r="N22" s="9">
        <v>0.49212128786666687</v>
      </c>
      <c r="O22" s="7">
        <v>1.6850923222329284</v>
      </c>
      <c r="P22" s="8">
        <v>1.4612342078217355</v>
      </c>
      <c r="Q22" s="9">
        <v>1.8520738528967822</v>
      </c>
      <c r="R22" s="7">
        <v>1.0555446104043562</v>
      </c>
      <c r="S22" s="8">
        <v>1.0469092693994735</v>
      </c>
      <c r="T22" s="9">
        <v>1.0899135575325485</v>
      </c>
      <c r="U22" s="7">
        <v>2.1071473215399772</v>
      </c>
      <c r="V22" s="8">
        <v>2.9265826399301496</v>
      </c>
      <c r="W22" s="9">
        <v>3.5954687239431924</v>
      </c>
      <c r="X22" s="7">
        <v>0.69130437229535158</v>
      </c>
      <c r="Y22" s="8">
        <v>0.56772991602905787</v>
      </c>
      <c r="Z22" s="9">
        <v>0.52339892365242169</v>
      </c>
      <c r="AA22" s="7">
        <v>1.1094905347370709</v>
      </c>
      <c r="AB22" s="8">
        <v>1.3924545676328286</v>
      </c>
      <c r="AC22" s="9">
        <v>2.0224672372504098</v>
      </c>
      <c r="AD22" s="7">
        <v>0.96526977890885812</v>
      </c>
      <c r="AE22" s="8">
        <v>0.96213907792034803</v>
      </c>
      <c r="AF22" s="9">
        <v>1.0098841689852935</v>
      </c>
      <c r="AG22" s="7">
        <v>2.6417982406890919</v>
      </c>
      <c r="AH22" s="8">
        <v>3.283011226469323</v>
      </c>
      <c r="AI22" s="9">
        <v>2.6659434152637638</v>
      </c>
      <c r="AJ22" s="7">
        <v>0.81495276628173685</v>
      </c>
      <c r="AK22" s="8">
        <v>0.66073942642486061</v>
      </c>
      <c r="AL22" s="9">
        <v>0.54562054631912771</v>
      </c>
      <c r="AM22" s="7">
        <v>1.9566943134953392</v>
      </c>
      <c r="AN22" s="8">
        <v>1.7824443616088204</v>
      </c>
      <c r="AO22" s="9">
        <v>2.3387065450176499</v>
      </c>
    </row>
    <row r="23" spans="2:41" x14ac:dyDescent="0.25">
      <c r="B23" t="s">
        <v>51</v>
      </c>
      <c r="C23" s="104">
        <v>3.2352172176693852E-2</v>
      </c>
      <c r="D23" s="105">
        <v>3.1197080514454203E-2</v>
      </c>
      <c r="E23" s="105">
        <v>1.4183889345924563E-2</v>
      </c>
      <c r="F23" s="105">
        <v>3.238238515796793E-2</v>
      </c>
      <c r="G23" s="105">
        <v>5.6999999999999993E-3</v>
      </c>
      <c r="H23" s="109">
        <v>2.2624135755143337E-3</v>
      </c>
      <c r="I23" s="18"/>
      <c r="J23" t="str">
        <f>INDEX(Lists!$F$4:$F$31,MATCH(K23,Lists!$G$4:$G$31,0),1)</f>
        <v>Italy</v>
      </c>
      <c r="K23" t="s">
        <v>51</v>
      </c>
      <c r="L23" s="7">
        <v>0.90475840289326581</v>
      </c>
      <c r="M23" s="8">
        <v>0.78839367471217991</v>
      </c>
      <c r="N23" s="9">
        <v>0.73794981200291976</v>
      </c>
      <c r="O23" s="7">
        <v>1.6486405823922003</v>
      </c>
      <c r="P23" s="8">
        <v>2.2092079189457428</v>
      </c>
      <c r="Q23" s="9">
        <v>2.0543053231675628</v>
      </c>
      <c r="R23" s="7">
        <v>0.98615339079543141</v>
      </c>
      <c r="S23" s="8">
        <v>0.95508192509244338</v>
      </c>
      <c r="T23" s="9">
        <v>0.93810846557350114</v>
      </c>
      <c r="U23" s="7">
        <v>2.0456610809937192</v>
      </c>
      <c r="V23" s="8">
        <v>2.4746114490612432</v>
      </c>
      <c r="W23" s="9">
        <v>2.3441451141348733</v>
      </c>
      <c r="X23" s="7">
        <v>0.85258341277888505</v>
      </c>
      <c r="Y23" s="8">
        <v>0.75005183647652729</v>
      </c>
      <c r="Z23" s="9">
        <v>0.68821269283895237</v>
      </c>
      <c r="AA23" s="7">
        <v>1.2662804634148181</v>
      </c>
      <c r="AB23" s="8">
        <v>1.4847089405689</v>
      </c>
      <c r="AC23" s="9">
        <v>1.6170370563482754</v>
      </c>
      <c r="AD23" s="7">
        <v>1.0273195731385945</v>
      </c>
      <c r="AE23" s="8">
        <v>1.0699131998028995</v>
      </c>
      <c r="AF23" s="9">
        <v>1.1091792978417143</v>
      </c>
      <c r="AG23" s="7">
        <v>1.4314734432951985</v>
      </c>
      <c r="AH23" s="8">
        <v>1.7755457563745862</v>
      </c>
      <c r="AI23" s="9">
        <v>2.0418331706329806</v>
      </c>
      <c r="AJ23" s="7">
        <v>1.2961551773116613</v>
      </c>
      <c r="AK23" s="8">
        <v>1.3355102826472678</v>
      </c>
      <c r="AL23" s="9">
        <v>1.446097904414259</v>
      </c>
      <c r="AM23" s="7">
        <v>3.0397499728631852</v>
      </c>
      <c r="AN23" s="8">
        <v>3.3262216744572664</v>
      </c>
      <c r="AO23" s="9">
        <v>2.9724134914809839</v>
      </c>
    </row>
    <row r="24" spans="2:41" x14ac:dyDescent="0.25">
      <c r="B24" t="s">
        <v>57</v>
      </c>
      <c r="C24" s="104">
        <v>1.0437450965144323E-2</v>
      </c>
      <c r="D24" s="105">
        <v>2.2049890596596192E-2</v>
      </c>
      <c r="E24" s="105">
        <v>1.1736919610363326E-2</v>
      </c>
      <c r="F24" s="105">
        <v>3.2150887862678265E-2</v>
      </c>
      <c r="G24" s="105">
        <v>8.3250000000000008E-3</v>
      </c>
      <c r="H24" s="109">
        <v>1.5227401571988356E-3</v>
      </c>
      <c r="I24" s="18"/>
      <c r="J24" t="str">
        <f>INDEX(Lists!$F$4:$F$31,MATCH(K24,Lists!$G$4:$G$31,0),1)</f>
        <v>Lithuania</v>
      </c>
      <c r="K24" t="s">
        <v>57</v>
      </c>
      <c r="L24" s="7">
        <v>0.99459982890982823</v>
      </c>
      <c r="M24" s="8">
        <v>1.0152253945815422</v>
      </c>
      <c r="N24" s="9">
        <v>1.0543629982423901</v>
      </c>
      <c r="O24" s="7">
        <v>1.7954398923990462</v>
      </c>
      <c r="P24" s="8">
        <v>2.1596089590480538</v>
      </c>
      <c r="Q24" s="9">
        <v>2.4396484538833807</v>
      </c>
      <c r="R24" s="7">
        <v>1.1145048092415508</v>
      </c>
      <c r="S24" s="8">
        <v>1.3180383594002452</v>
      </c>
      <c r="T24" s="9">
        <v>1.8260949146370153</v>
      </c>
      <c r="U24" s="7">
        <v>3.7317525900026576</v>
      </c>
      <c r="V24" s="8">
        <v>4.9858317216558232</v>
      </c>
      <c r="W24" s="9">
        <v>5.6920473602339134</v>
      </c>
      <c r="X24" s="7">
        <v>0.95064977749212942</v>
      </c>
      <c r="Y24" s="8">
        <v>0.97811441716178671</v>
      </c>
      <c r="Z24" s="9">
        <v>0.9657652918784102</v>
      </c>
      <c r="AA24" s="7">
        <v>1.7314286388849922</v>
      </c>
      <c r="AB24" s="8">
        <v>1.9318439778049905</v>
      </c>
      <c r="AC24" s="9">
        <v>1.6627941526638979</v>
      </c>
      <c r="AD24" s="7">
        <v>1.0935939091601303</v>
      </c>
      <c r="AE24" s="8">
        <v>1.0768614205960123</v>
      </c>
      <c r="AF24" s="9">
        <v>1.1125667273867288</v>
      </c>
      <c r="AG24" s="7">
        <v>3.0196998476475807</v>
      </c>
      <c r="AH24" s="8">
        <v>3.6843760825003526</v>
      </c>
      <c r="AI24" s="9">
        <v>2.1887902553704794</v>
      </c>
      <c r="AJ24" s="7">
        <v>1.0044725116619655</v>
      </c>
      <c r="AK24" s="8">
        <v>0.89975870433164096</v>
      </c>
      <c r="AL24" s="9">
        <v>0.88523284190257079</v>
      </c>
      <c r="AM24" s="7">
        <v>1.4147170699566201</v>
      </c>
      <c r="AN24" s="8">
        <v>1.3905215562373718</v>
      </c>
      <c r="AO24" s="9">
        <v>1.342065775729953</v>
      </c>
    </row>
    <row r="25" spans="2:41" x14ac:dyDescent="0.25">
      <c r="B25" t="s">
        <v>59</v>
      </c>
      <c r="C25" s="104">
        <v>2.8046013882838533E-2</v>
      </c>
      <c r="D25" s="105">
        <v>4.8363842709124763E-2</v>
      </c>
      <c r="E25" s="105">
        <v>5.8513606754814458E-3</v>
      </c>
      <c r="F25" s="105">
        <v>2.0019274871445968E-2</v>
      </c>
      <c r="G25" s="105">
        <v>4.8112466876576122E-3</v>
      </c>
      <c r="H25" s="109">
        <v>7.1000000000000005E-5</v>
      </c>
      <c r="I25" s="18"/>
      <c r="J25" t="str">
        <f>INDEX(Lists!$F$4:$F$31,MATCH(K25,Lists!$G$4:$G$31,0),1)</f>
        <v>Luxembourg</v>
      </c>
      <c r="K25" t="s">
        <v>59</v>
      </c>
      <c r="L25" s="7">
        <v>0.79051532749859199</v>
      </c>
      <c r="M25" s="8">
        <v>0.67522363162576693</v>
      </c>
      <c r="N25" s="9">
        <v>0.62400702737854852</v>
      </c>
      <c r="O25" s="7">
        <v>1.8186671906468201</v>
      </c>
      <c r="P25" s="8">
        <v>1.7727321184255955</v>
      </c>
      <c r="Q25" s="9">
        <v>1.6352595941394124</v>
      </c>
      <c r="R25" s="7">
        <v>0.9396893842763403</v>
      </c>
      <c r="S25" s="8">
        <v>0.98756929730508458</v>
      </c>
      <c r="T25" s="9">
        <v>0.96198745848873035</v>
      </c>
      <c r="U25" s="7">
        <v>1.7427088150285663</v>
      </c>
      <c r="V25" s="8">
        <v>1.68969732924743</v>
      </c>
      <c r="W25" s="9">
        <v>1.3264008166339754</v>
      </c>
      <c r="X25" s="7">
        <v>1.1353710702258211</v>
      </c>
      <c r="Y25" s="8">
        <v>1.1241293587923851</v>
      </c>
      <c r="Z25" s="9">
        <v>1.132969242988608</v>
      </c>
      <c r="AA25" s="7">
        <v>1.3140489385170557</v>
      </c>
      <c r="AB25" s="8">
        <v>1.3326228563440601</v>
      </c>
      <c r="AC25" s="9">
        <v>1.3405316832647827</v>
      </c>
      <c r="AD25" s="7">
        <v>0.97244338223622395</v>
      </c>
      <c r="AE25" s="8">
        <v>1.0179528946800489</v>
      </c>
      <c r="AF25" s="9">
        <v>1.0705173821585261</v>
      </c>
      <c r="AG25" s="7">
        <v>3.1559469739954413</v>
      </c>
      <c r="AH25" s="8">
        <v>4.1342492184213198</v>
      </c>
      <c r="AI25" s="9">
        <v>2.3614553729230319</v>
      </c>
      <c r="AJ25" s="7">
        <v>0.86004700164579861</v>
      </c>
      <c r="AK25" s="8">
        <v>0.84748021178550581</v>
      </c>
      <c r="AL25" s="9">
        <v>0.83916061270198605</v>
      </c>
      <c r="AM25" s="7">
        <v>2.9899678443230462</v>
      </c>
      <c r="AN25" s="8">
        <v>2.973109538673631</v>
      </c>
      <c r="AO25" s="9">
        <v>2.0154012937938228</v>
      </c>
    </row>
    <row r="26" spans="2:41" x14ac:dyDescent="0.25">
      <c r="B26" t="s">
        <v>55</v>
      </c>
      <c r="C26" s="104">
        <v>2.0649980055286496E-2</v>
      </c>
      <c r="D26" s="105">
        <v>2.6496946795306734E-2</v>
      </c>
      <c r="E26" s="105">
        <v>1.6570052507563077E-2</v>
      </c>
      <c r="F26" s="105">
        <v>3.1781538452232104E-2</v>
      </c>
      <c r="G26" s="105">
        <v>8.3250000000000008E-3</v>
      </c>
      <c r="H26" s="109">
        <v>1.5227401571988356E-3</v>
      </c>
      <c r="I26" s="18"/>
      <c r="J26" t="str">
        <f>INDEX(Lists!$F$4:$F$31,MATCH(K26,Lists!$G$4:$G$31,0),1)</f>
        <v>Latvia</v>
      </c>
      <c r="K26" t="s">
        <v>55</v>
      </c>
      <c r="L26" s="7">
        <v>0.78565537500909843</v>
      </c>
      <c r="M26" s="8">
        <v>0.69997040671462551</v>
      </c>
      <c r="N26" s="9">
        <v>0.72022492270323302</v>
      </c>
      <c r="O26" s="7">
        <v>1.424436875311452</v>
      </c>
      <c r="P26" s="8">
        <v>1.4409835528162667</v>
      </c>
      <c r="Q26" s="9">
        <v>1.3492526984164126</v>
      </c>
      <c r="R26" s="7">
        <v>0.79521426153355768</v>
      </c>
      <c r="S26" s="8">
        <v>0.92632612975237383</v>
      </c>
      <c r="T26" s="9">
        <v>1.0759098955595683</v>
      </c>
      <c r="U26" s="7">
        <v>2.8331121989321226</v>
      </c>
      <c r="V26" s="8">
        <v>5.0693200500267013</v>
      </c>
      <c r="W26" s="9">
        <v>4.7241625953436248</v>
      </c>
      <c r="X26" s="7">
        <v>0.82990508069915114</v>
      </c>
      <c r="Y26" s="8">
        <v>1.1303351678627134</v>
      </c>
      <c r="Z26" s="9">
        <v>0.95870657771780454</v>
      </c>
      <c r="AA26" s="7">
        <v>1.8611517119338274</v>
      </c>
      <c r="AB26" s="8">
        <v>1.8325709338378646</v>
      </c>
      <c r="AC26" s="9">
        <v>1.4405359300111129</v>
      </c>
      <c r="AD26" s="7">
        <v>0.84552371428048667</v>
      </c>
      <c r="AE26" s="8">
        <v>0.89246038498213476</v>
      </c>
      <c r="AF26" s="9">
        <v>0.94844927309762561</v>
      </c>
      <c r="AG26" s="7">
        <v>2.0126630995337997</v>
      </c>
      <c r="AH26" s="8">
        <v>3.6294574150114189</v>
      </c>
      <c r="AI26" s="9">
        <v>3.0200963996963672</v>
      </c>
      <c r="AJ26" s="7">
        <v>0.80086079044871672</v>
      </c>
      <c r="AK26" s="8">
        <v>0.65548210787430794</v>
      </c>
      <c r="AL26" s="9">
        <v>0.66253729207757694</v>
      </c>
      <c r="AM26" s="7">
        <v>3.6554177197653726</v>
      </c>
      <c r="AN26" s="8">
        <v>2.6638416882042524</v>
      </c>
      <c r="AO26" s="9">
        <v>1.8081259790340309</v>
      </c>
    </row>
    <row r="27" spans="2:41" x14ac:dyDescent="0.25">
      <c r="B27" t="s">
        <v>63</v>
      </c>
      <c r="C27" s="104">
        <v>1.5202435047451104E-2</v>
      </c>
      <c r="D27" s="105">
        <v>3.3085982533282987E-2</v>
      </c>
      <c r="E27" s="105">
        <v>1.212583940047971E-2</v>
      </c>
      <c r="F27" s="105">
        <v>2.5271679617852271E-2</v>
      </c>
      <c r="G27" s="105">
        <v>2.5912500000000005E-2</v>
      </c>
      <c r="H27" s="109">
        <v>1.1944220949778438E-3</v>
      </c>
      <c r="I27" s="18"/>
      <c r="J27" t="str">
        <f>INDEX(Lists!$F$4:$F$31,MATCH(K27,Lists!$G$4:$G$31,0),1)</f>
        <v>Malta</v>
      </c>
      <c r="K27" t="s">
        <v>63</v>
      </c>
      <c r="L27" s="7">
        <v>0.9743099172849512</v>
      </c>
      <c r="M27" s="8">
        <v>0.99327789230595132</v>
      </c>
      <c r="N27" s="9">
        <v>0.89899036649381059</v>
      </c>
      <c r="O27" s="7">
        <v>2.1582886889464761</v>
      </c>
      <c r="P27" s="8">
        <v>2.5518599692613861</v>
      </c>
      <c r="Q27" s="9">
        <v>1.7988143863331556</v>
      </c>
      <c r="R27" s="7">
        <v>1.3171801876301714</v>
      </c>
      <c r="S27" s="8">
        <v>1.0049623475222229</v>
      </c>
      <c r="T27" s="9">
        <v>1.3888207491665918</v>
      </c>
      <c r="U27" s="7">
        <v>2.7176080380395136</v>
      </c>
      <c r="V27" s="8">
        <v>4.3887572708448737</v>
      </c>
      <c r="W27" s="9">
        <v>5.401635052193158</v>
      </c>
      <c r="X27" s="7">
        <v>0.85392851407908688</v>
      </c>
      <c r="Y27" s="8">
        <v>0.86112165658496365</v>
      </c>
      <c r="Z27" s="9">
        <v>0.85544904764049867</v>
      </c>
      <c r="AA27" s="7">
        <v>1.5911680909699513</v>
      </c>
      <c r="AB27" s="8">
        <v>2.070188950623487</v>
      </c>
      <c r="AC27" s="9">
        <v>1.6956093924855844</v>
      </c>
      <c r="AD27" s="7">
        <v>0.9208659237915533</v>
      </c>
      <c r="AE27" s="8">
        <v>1.0116688479523201</v>
      </c>
      <c r="AF27" s="9">
        <v>1.0812874574508571</v>
      </c>
      <c r="AG27" s="7">
        <v>3.2410659561730788</v>
      </c>
      <c r="AH27" s="8">
        <v>4.4448908143214458</v>
      </c>
      <c r="AI27" s="9">
        <v>2.9231765296366192</v>
      </c>
      <c r="AJ27" s="7">
        <v>0.72888028579649544</v>
      </c>
      <c r="AK27" s="8">
        <v>0.57664996801105439</v>
      </c>
      <c r="AL27" s="9">
        <v>0.50433894463267515</v>
      </c>
      <c r="AM27" s="7">
        <v>2.378913924927021</v>
      </c>
      <c r="AN27" s="8">
        <v>1.7159166349315969</v>
      </c>
      <c r="AO27" s="9">
        <v>1.7159166349315969</v>
      </c>
    </row>
    <row r="28" spans="2:41" x14ac:dyDescent="0.25">
      <c r="B28" t="s">
        <v>65</v>
      </c>
      <c r="C28" s="104">
        <v>1.8214714987180175E-3</v>
      </c>
      <c r="D28" s="105">
        <v>3.5201861770252835E-2</v>
      </c>
      <c r="E28" s="105">
        <v>3.4617424079842964E-3</v>
      </c>
      <c r="F28" s="105">
        <v>3.1411371638584713E-2</v>
      </c>
      <c r="G28" s="105">
        <v>3.7000000000000002E-3</v>
      </c>
      <c r="H28" s="109">
        <v>7.1000000000000005E-5</v>
      </c>
      <c r="I28" s="18"/>
      <c r="J28" t="str">
        <f>INDEX(Lists!$F$4:$F$31,MATCH(K28,Lists!$G$4:$G$31,0),1)</f>
        <v>Netherlands</v>
      </c>
      <c r="K28" t="s">
        <v>65</v>
      </c>
      <c r="L28" s="7">
        <v>0.79832459256745969</v>
      </c>
      <c r="M28" s="8">
        <v>0.69793384406918868</v>
      </c>
      <c r="N28" s="9">
        <v>0.64617554756243034</v>
      </c>
      <c r="O28" s="7">
        <v>1.4229304184746623</v>
      </c>
      <c r="P28" s="8">
        <v>1.7299440081741684</v>
      </c>
      <c r="Q28" s="9">
        <v>2.353019720553732</v>
      </c>
      <c r="R28" s="7">
        <v>1.0075840063313437</v>
      </c>
      <c r="S28" s="8">
        <v>1.0098974792835302</v>
      </c>
      <c r="T28" s="9">
        <v>1.0419509970569456</v>
      </c>
      <c r="U28" s="7">
        <v>2.0717184173717618</v>
      </c>
      <c r="V28" s="8">
        <v>2.6221712487445932</v>
      </c>
      <c r="W28" s="9">
        <v>2.8324876686088087</v>
      </c>
      <c r="X28" s="7">
        <v>0.81178857854767605</v>
      </c>
      <c r="Y28" s="8">
        <v>0.79581903600720305</v>
      </c>
      <c r="Z28" s="9">
        <v>0.80860144213527096</v>
      </c>
      <c r="AA28" s="7">
        <v>1.1697530550889659</v>
      </c>
      <c r="AB28" s="8">
        <v>1.9370560721059489</v>
      </c>
      <c r="AC28" s="9">
        <v>2.3782546541104774</v>
      </c>
      <c r="AD28" s="7">
        <v>0.9590701419131874</v>
      </c>
      <c r="AE28" s="8">
        <v>1.0494794164146592</v>
      </c>
      <c r="AF28" s="9">
        <v>1.0925272498043372</v>
      </c>
      <c r="AG28" s="7">
        <v>2.2945951086527114</v>
      </c>
      <c r="AH28" s="8">
        <v>3.3431012660164625</v>
      </c>
      <c r="AI28" s="9">
        <v>3.7477687944460425</v>
      </c>
      <c r="AJ28" s="7">
        <v>0.94782764944275011</v>
      </c>
      <c r="AK28" s="8">
        <v>0.97154949300016147</v>
      </c>
      <c r="AL28" s="9">
        <v>1.0473766829610933</v>
      </c>
      <c r="AM28" s="7">
        <v>4.2988425479790964</v>
      </c>
      <c r="AN28" s="8">
        <v>4.6050714754553708</v>
      </c>
      <c r="AO28" s="9">
        <v>5.1673097107911552</v>
      </c>
    </row>
    <row r="29" spans="2:41" x14ac:dyDescent="0.25">
      <c r="B29" t="s">
        <v>68</v>
      </c>
      <c r="C29" s="104">
        <v>2.0094004756228478E-2</v>
      </c>
      <c r="D29" s="105">
        <v>6.14216457484369E-2</v>
      </c>
      <c r="E29" s="105">
        <v>1.3699164985467624E-2</v>
      </c>
      <c r="F29" s="105">
        <v>3.1405947169748219E-2</v>
      </c>
      <c r="G29" s="105">
        <v>1.11E-2</v>
      </c>
      <c r="H29" s="109">
        <v>1.5227401571988356E-3</v>
      </c>
      <c r="I29" s="18"/>
      <c r="J29" t="str">
        <f>INDEX(Lists!$F$4:$F$31,MATCH(K29,Lists!$G$4:$G$31,0),1)</f>
        <v>Poland</v>
      </c>
      <c r="K29" t="s">
        <v>68</v>
      </c>
      <c r="L29" s="7">
        <v>1.0449972056993111</v>
      </c>
      <c r="M29" s="8">
        <v>1.1069312383352892</v>
      </c>
      <c r="N29" s="9">
        <v>1.1620237527289043</v>
      </c>
      <c r="O29" s="7">
        <v>1.6803001190652995</v>
      </c>
      <c r="P29" s="8">
        <v>2.590633047868812</v>
      </c>
      <c r="Q29" s="9">
        <v>3.1586425081452383</v>
      </c>
      <c r="R29" s="7">
        <v>1.0225316076860684</v>
      </c>
      <c r="S29" s="8">
        <v>1.0782767316046549</v>
      </c>
      <c r="T29" s="9">
        <v>1.1114690200839576</v>
      </c>
      <c r="U29" s="7">
        <v>1.8201537254195121</v>
      </c>
      <c r="V29" s="8">
        <v>2.0372545099634598</v>
      </c>
      <c r="W29" s="9">
        <v>2.6156562162797061</v>
      </c>
      <c r="X29" s="7">
        <v>0.99381242602182362</v>
      </c>
      <c r="Y29" s="8">
        <v>1.0745504115375348</v>
      </c>
      <c r="Z29" s="9">
        <v>1.1915332463355082</v>
      </c>
      <c r="AA29" s="7">
        <v>1.6096549934482409</v>
      </c>
      <c r="AB29" s="8">
        <v>2.3944535944110283</v>
      </c>
      <c r="AC29" s="9">
        <v>2.2716789717242727</v>
      </c>
      <c r="AD29" s="7">
        <v>1.0229051239835587</v>
      </c>
      <c r="AE29" s="8">
        <v>1.0846701777125012</v>
      </c>
      <c r="AF29" s="9">
        <v>1.1566491420227962</v>
      </c>
      <c r="AG29" s="7">
        <v>2.1167360287273156</v>
      </c>
      <c r="AH29" s="8">
        <v>3.4062127549751611</v>
      </c>
      <c r="AI29" s="9">
        <v>3.2177684573523573</v>
      </c>
      <c r="AJ29" s="7">
        <v>1.1883515947389371</v>
      </c>
      <c r="AK29" s="8">
        <v>1.0130673082046608</v>
      </c>
      <c r="AL29" s="9">
        <v>1.01472794255587</v>
      </c>
      <c r="AM29" s="7">
        <v>2.7240304005929219</v>
      </c>
      <c r="AN29" s="8">
        <v>1.5944155922532375</v>
      </c>
      <c r="AO29" s="9">
        <v>1.3479376307638189</v>
      </c>
    </row>
    <row r="30" spans="2:41" x14ac:dyDescent="0.25">
      <c r="B30" t="s">
        <v>70</v>
      </c>
      <c r="C30" s="104">
        <v>5.0395081420655317E-2</v>
      </c>
      <c r="D30" s="105">
        <v>0.10384617253339865</v>
      </c>
      <c r="E30" s="105">
        <v>1.4282550272224163E-2</v>
      </c>
      <c r="F30" s="105">
        <v>3.4339510962196527E-2</v>
      </c>
      <c r="G30" s="105">
        <v>4.8999999999999998E-3</v>
      </c>
      <c r="H30" s="109">
        <v>2.6709044318184321E-3</v>
      </c>
      <c r="I30" s="18"/>
      <c r="J30" t="str">
        <f>INDEX(Lists!$F$4:$F$31,MATCH(K30,Lists!$G$4:$G$31,0),1)</f>
        <v>Portugal</v>
      </c>
      <c r="K30" t="s">
        <v>70</v>
      </c>
      <c r="L30" s="7">
        <v>0.8748198651820398</v>
      </c>
      <c r="M30" s="8">
        <v>0.93717412866052385</v>
      </c>
      <c r="N30" s="9">
        <v>0.92701576565117982</v>
      </c>
      <c r="O30" s="7">
        <v>1.2528783312934764</v>
      </c>
      <c r="P30" s="8">
        <v>1.5615325090299901</v>
      </c>
      <c r="Q30" s="9">
        <v>1.552671785115288</v>
      </c>
      <c r="R30" s="7">
        <v>0.82053072415817185</v>
      </c>
      <c r="S30" s="8">
        <v>0.80020326871973657</v>
      </c>
      <c r="T30" s="9">
        <v>0.78421415108803483</v>
      </c>
      <c r="U30" s="7">
        <v>1.4654937256285687</v>
      </c>
      <c r="V30" s="8">
        <v>1.8368532395893773</v>
      </c>
      <c r="W30" s="9">
        <v>1.9576180636347</v>
      </c>
      <c r="X30" s="7">
        <v>1.0119301654598314</v>
      </c>
      <c r="Y30" s="8">
        <v>1.0618863694643814</v>
      </c>
      <c r="Z30" s="9">
        <v>1.0876868469812659</v>
      </c>
      <c r="AA30" s="7">
        <v>1.7263412464813366</v>
      </c>
      <c r="AB30" s="8">
        <v>2.1560196616274188</v>
      </c>
      <c r="AC30" s="9">
        <v>1.7175337535300446</v>
      </c>
      <c r="AD30" s="7">
        <v>1.0089269249551804</v>
      </c>
      <c r="AE30" s="8">
        <v>1.0631704042999757</v>
      </c>
      <c r="AF30" s="9">
        <v>1.0755926484056204</v>
      </c>
      <c r="AG30" s="7">
        <v>2.1028166056711459</v>
      </c>
      <c r="AH30" s="8">
        <v>2.2887902772119393</v>
      </c>
      <c r="AI30" s="9">
        <v>2.0514453976641716</v>
      </c>
      <c r="AJ30" s="7">
        <v>1.3485787752664811</v>
      </c>
      <c r="AK30" s="8">
        <v>1.4765867332663185</v>
      </c>
      <c r="AL30" s="9">
        <v>1.6273271003068974</v>
      </c>
      <c r="AM30" s="7">
        <v>5.0703145984427769</v>
      </c>
      <c r="AN30" s="8">
        <v>3.186907359178289</v>
      </c>
      <c r="AO30" s="9">
        <v>2.895991764005224</v>
      </c>
    </row>
    <row r="31" spans="2:41" x14ac:dyDescent="0.25">
      <c r="B31" t="s">
        <v>72</v>
      </c>
      <c r="C31" s="104">
        <v>4.0005088861149077E-2</v>
      </c>
      <c r="D31" s="105">
        <v>5.1241108369880356E-2</v>
      </c>
      <c r="E31" s="105">
        <v>2.6235053264530291E-2</v>
      </c>
      <c r="F31" s="105">
        <v>2.5208034910306189E-2</v>
      </c>
      <c r="G31" s="105">
        <v>5.3E-3</v>
      </c>
      <c r="H31" s="109">
        <v>2.6709044318184321E-3</v>
      </c>
      <c r="I31" s="18"/>
      <c r="J31" t="str">
        <f>INDEX(Lists!$F$4:$F$31,MATCH(K31,Lists!$G$4:$G$31,0),1)</f>
        <v>Romania</v>
      </c>
      <c r="K31" t="s">
        <v>72</v>
      </c>
      <c r="L31" s="7">
        <v>0.7953540286989228</v>
      </c>
      <c r="M31" s="8">
        <v>0.85504560084776349</v>
      </c>
      <c r="N31" s="9">
        <v>0.87870159331694853</v>
      </c>
      <c r="O31" s="7">
        <v>1.324192625132911</v>
      </c>
      <c r="P31" s="8">
        <v>1.818303153336515</v>
      </c>
      <c r="Q31" s="9">
        <v>1.9696394566391722</v>
      </c>
      <c r="R31" s="7">
        <v>1.7661760671594313</v>
      </c>
      <c r="S31" s="8">
        <v>1.36005256646645</v>
      </c>
      <c r="T31" s="9">
        <v>1.5009984308380611</v>
      </c>
      <c r="U31" s="7">
        <v>2.8282320679569404</v>
      </c>
      <c r="V31" s="8">
        <v>4.8424654686950985</v>
      </c>
      <c r="W31" s="9">
        <v>5.7954127405644158</v>
      </c>
      <c r="X31" s="7">
        <v>0.86144314034517688</v>
      </c>
      <c r="Y31" s="8">
        <v>1.1203213101277347</v>
      </c>
      <c r="Z31" s="9">
        <v>1.1497526345121911</v>
      </c>
      <c r="AA31" s="7">
        <v>1.7318437185165481</v>
      </c>
      <c r="AB31" s="8">
        <v>2.7302753136352749</v>
      </c>
      <c r="AC31" s="9">
        <v>2.4004174949291874</v>
      </c>
      <c r="AD31" s="7">
        <v>0.83764932879266985</v>
      </c>
      <c r="AE31" s="8">
        <v>1.0632298785086436</v>
      </c>
      <c r="AF31" s="9">
        <v>1.1970138625569224</v>
      </c>
      <c r="AG31" s="7">
        <v>1.7813469426245092</v>
      </c>
      <c r="AH31" s="8">
        <v>2.4009290306410742</v>
      </c>
      <c r="AI31" s="9">
        <v>2.9240553668768441</v>
      </c>
      <c r="AJ31" s="7">
        <v>0.94023863041383748</v>
      </c>
      <c r="AK31" s="8">
        <v>1.7586523510633369</v>
      </c>
      <c r="AL31" s="9">
        <v>1.9232361339741046</v>
      </c>
      <c r="AM31" s="7">
        <v>1.3155001724577884</v>
      </c>
      <c r="AN31" s="8">
        <v>2.6306483693740819</v>
      </c>
      <c r="AO31" s="9">
        <v>3.9285548852099028</v>
      </c>
    </row>
    <row r="32" spans="2:41" x14ac:dyDescent="0.25">
      <c r="B32" t="s">
        <v>80</v>
      </c>
      <c r="C32" s="104">
        <v>8.6588625881187948E-3</v>
      </c>
      <c r="D32" s="105">
        <v>2.4172926045193378E-2</v>
      </c>
      <c r="E32" s="105">
        <v>1.1235990488880583E-2</v>
      </c>
      <c r="F32" s="105">
        <v>3.2499439970713889E-2</v>
      </c>
      <c r="G32" s="105">
        <v>4.5000000000000005E-3</v>
      </c>
      <c r="H32" s="109">
        <v>7.1000000000000005E-5</v>
      </c>
      <c r="I32" s="18"/>
      <c r="J32" t="str">
        <f>INDEX(Lists!$F$4:$F$31,MATCH(K32,Lists!$G$4:$G$31,0),1)</f>
        <v>Sweden</v>
      </c>
      <c r="K32" t="s">
        <v>80</v>
      </c>
      <c r="L32" s="7">
        <v>1.0342278485951768</v>
      </c>
      <c r="M32" s="8">
        <v>1.0916078753620118</v>
      </c>
      <c r="N32" s="9">
        <v>1.2496059984332049</v>
      </c>
      <c r="O32" s="7">
        <v>2.2927929772429345</v>
      </c>
      <c r="P32" s="8">
        <v>3.8176243369055669</v>
      </c>
      <c r="Q32" s="9">
        <v>4.0515731674022977</v>
      </c>
      <c r="R32" s="7">
        <v>1.2824704504146258</v>
      </c>
      <c r="S32" s="8">
        <v>1.4968431261711868</v>
      </c>
      <c r="T32" s="9">
        <v>1.7303448719190375</v>
      </c>
      <c r="U32" s="7">
        <v>4.3520273254231565</v>
      </c>
      <c r="V32" s="8">
        <v>6.4015305123991606</v>
      </c>
      <c r="W32" s="9">
        <v>7.5207778181149703</v>
      </c>
      <c r="X32" s="7">
        <v>0.97915661457409853</v>
      </c>
      <c r="Y32" s="8">
        <v>1.0297807229778475</v>
      </c>
      <c r="Z32" s="9">
        <v>1.1013417079202716</v>
      </c>
      <c r="AA32" s="7">
        <v>1.9075799690928035</v>
      </c>
      <c r="AB32" s="8">
        <v>2.7584067407355772</v>
      </c>
      <c r="AC32" s="9">
        <v>2.3640581366771438</v>
      </c>
      <c r="AD32" s="7">
        <v>1.0793962675436688</v>
      </c>
      <c r="AE32" s="8">
        <v>1.1220424813841061</v>
      </c>
      <c r="AF32" s="9">
        <v>1.2396423580299172</v>
      </c>
      <c r="AG32" s="7">
        <v>2.967551766671185</v>
      </c>
      <c r="AH32" s="8">
        <v>4.1021905812738444</v>
      </c>
      <c r="AI32" s="9">
        <v>2.9134820724527914</v>
      </c>
      <c r="AJ32" s="7">
        <v>0.95428554772776519</v>
      </c>
      <c r="AK32" s="8">
        <v>0.9378711266745654</v>
      </c>
      <c r="AL32" s="9">
        <v>0.93032991740001736</v>
      </c>
      <c r="AM32" s="7">
        <v>2.8090466786955068</v>
      </c>
      <c r="AN32" s="8">
        <v>2.822098610903359</v>
      </c>
      <c r="AO32" s="9">
        <v>1.7031560396777974</v>
      </c>
    </row>
    <row r="33" spans="2:41" x14ac:dyDescent="0.25">
      <c r="B33" t="s">
        <v>74</v>
      </c>
      <c r="C33" s="104">
        <v>9.5928879710339664E-3</v>
      </c>
      <c r="D33" s="105">
        <v>6.2226130093747709E-2</v>
      </c>
      <c r="E33" s="105">
        <v>2.4995914480076077E-2</v>
      </c>
      <c r="F33" s="105">
        <v>3.289793351358191E-2</v>
      </c>
      <c r="G33" s="105">
        <v>8.4464285714285717E-3</v>
      </c>
      <c r="H33" s="109">
        <v>1.4100813845288776E-3</v>
      </c>
      <c r="I33" s="18"/>
      <c r="J33" t="str">
        <f>INDEX(Lists!$F$4:$F$31,MATCH(K33,Lists!$G$4:$G$31,0),1)</f>
        <v>Slovenia</v>
      </c>
      <c r="K33" t="s">
        <v>74</v>
      </c>
      <c r="L33" s="7">
        <v>0.97749011572584343</v>
      </c>
      <c r="M33" s="8">
        <v>0.984237896815225</v>
      </c>
      <c r="N33" s="9">
        <v>0.98293715579998886</v>
      </c>
      <c r="O33" s="7">
        <v>1.9228147574161325</v>
      </c>
      <c r="P33" s="8">
        <v>2.981391686452151</v>
      </c>
      <c r="Q33" s="9">
        <v>2.8502463710680424</v>
      </c>
      <c r="R33" s="7">
        <v>1.1302903892520293</v>
      </c>
      <c r="S33" s="8">
        <v>1.1926002691057398</v>
      </c>
      <c r="T33" s="9">
        <v>1.3164347603226767</v>
      </c>
      <c r="U33" s="7">
        <v>2.2068647410968287</v>
      </c>
      <c r="V33" s="8">
        <v>2.7450304021705492</v>
      </c>
      <c r="W33" s="9">
        <v>2.7495455826332296</v>
      </c>
      <c r="X33" s="7">
        <v>0.78689223967314248</v>
      </c>
      <c r="Y33" s="8">
        <v>0.68565427175366223</v>
      </c>
      <c r="Z33" s="9">
        <v>0.74849678335419312</v>
      </c>
      <c r="AA33" s="7">
        <v>1.5335377300140434</v>
      </c>
      <c r="AB33" s="8">
        <v>2.2238055058645476</v>
      </c>
      <c r="AC33" s="9">
        <v>2.2489541560632307</v>
      </c>
      <c r="AD33" s="7">
        <v>0.82515613349133554</v>
      </c>
      <c r="AE33" s="8">
        <v>0.87490098286369467</v>
      </c>
      <c r="AF33" s="9">
        <v>0.90887194666885551</v>
      </c>
      <c r="AG33" s="7">
        <v>2.6636640092925137</v>
      </c>
      <c r="AH33" s="8">
        <v>4.111206697034647</v>
      </c>
      <c r="AI33" s="9">
        <v>2.3719014309304751</v>
      </c>
      <c r="AJ33" s="7">
        <v>0.91158563467006914</v>
      </c>
      <c r="AK33" s="8">
        <v>0.76864534388737715</v>
      </c>
      <c r="AL33" s="9">
        <v>0.72158423084422207</v>
      </c>
      <c r="AM33" s="7">
        <v>3.0546233224682595</v>
      </c>
      <c r="AN33" s="8">
        <v>2.5489882910168502</v>
      </c>
      <c r="AO33" s="9">
        <v>1.972958813152704</v>
      </c>
    </row>
    <row r="34" spans="2:41" x14ac:dyDescent="0.25">
      <c r="B34" s="11" t="s">
        <v>76</v>
      </c>
      <c r="C34" s="106">
        <v>1.8345226675509495E-2</v>
      </c>
      <c r="D34" s="107">
        <v>4.124080672814625E-2</v>
      </c>
      <c r="E34" s="107">
        <v>1.3481911381516293E-2</v>
      </c>
      <c r="F34" s="107">
        <v>3.4733784579025297E-2</v>
      </c>
      <c r="G34" s="107">
        <v>6.8125000000000017E-3</v>
      </c>
      <c r="H34" s="110">
        <v>9.921381388768389E-4</v>
      </c>
      <c r="I34" s="18"/>
      <c r="J34" s="11" t="str">
        <f>INDEX(Lists!$F$4:$F$31,MATCH(K34,Lists!$G$4:$G$31,0),1)</f>
        <v>Slovakia</v>
      </c>
      <c r="K34" s="12" t="s">
        <v>76</v>
      </c>
      <c r="L34" s="10">
        <v>0.76680752293829491</v>
      </c>
      <c r="M34" s="11">
        <v>0.76038108481799294</v>
      </c>
      <c r="N34" s="12">
        <v>0.75192489586126132</v>
      </c>
      <c r="O34" s="10">
        <v>1.6239308391678342</v>
      </c>
      <c r="P34" s="11">
        <v>2.1248263878271136</v>
      </c>
      <c r="Q34" s="12">
        <v>1.4317155823818446</v>
      </c>
      <c r="R34" s="10">
        <v>0.82310500355974681</v>
      </c>
      <c r="S34" s="11">
        <v>0.88799645747774103</v>
      </c>
      <c r="T34" s="12">
        <v>0.93679031215720587</v>
      </c>
      <c r="U34" s="10">
        <v>2.1107037258084032</v>
      </c>
      <c r="V34" s="11">
        <v>2.8682222357588483</v>
      </c>
      <c r="W34" s="12">
        <v>2.448819553497473</v>
      </c>
      <c r="X34" s="10">
        <v>0.88265289940619185</v>
      </c>
      <c r="Y34" s="11">
        <v>0.8009574940013382</v>
      </c>
      <c r="Z34" s="12">
        <v>0.77753324145311509</v>
      </c>
      <c r="AA34" s="10">
        <v>1.5765739818571762</v>
      </c>
      <c r="AB34" s="11">
        <v>1.9071438540200896</v>
      </c>
      <c r="AC34" s="12">
        <v>1.6555379276661213</v>
      </c>
      <c r="AD34" s="10">
        <v>0.93615540234775685</v>
      </c>
      <c r="AE34" s="11">
        <v>0.91442448147103994</v>
      </c>
      <c r="AF34" s="12">
        <v>0.88123666713533633</v>
      </c>
      <c r="AG34" s="10">
        <v>2.4725545553729646</v>
      </c>
      <c r="AH34" s="11">
        <v>3.1313440702149102</v>
      </c>
      <c r="AI34" s="12">
        <v>2.1736129062968947</v>
      </c>
      <c r="AJ34" s="10">
        <v>0.91983047859442724</v>
      </c>
      <c r="AK34" s="11">
        <v>0.91979217381101508</v>
      </c>
      <c r="AL34" s="12">
        <v>0.91369383851222297</v>
      </c>
      <c r="AM34" s="10">
        <v>3.4204227355243226</v>
      </c>
      <c r="AN34" s="11">
        <v>2.7868162531583645</v>
      </c>
      <c r="AO34" s="12">
        <v>2.3110135464017274</v>
      </c>
    </row>
    <row r="35" spans="2:41" x14ac:dyDescent="0.25">
      <c r="B35" t="s">
        <v>100</v>
      </c>
      <c r="C35" s="279">
        <f t="array" ref="C35:G50">C56</f>
        <v>1.4999999999999999E-2</v>
      </c>
      <c r="D35" s="280">
        <v>1.4999999999999999E-2</v>
      </c>
      <c r="E35" s="280">
        <v>1.4999999999999999E-2</v>
      </c>
      <c r="F35" s="280">
        <v>1.4999999999999999E-2</v>
      </c>
      <c r="G35" s="280">
        <v>1.4999999999999999E-2</v>
      </c>
      <c r="H35" s="281">
        <f t="array" ref="H35:H50">C56</f>
        <v>1.4999999999999999E-2</v>
      </c>
      <c r="J35" t="s">
        <v>84</v>
      </c>
      <c r="K35" t="s">
        <v>100</v>
      </c>
      <c r="L35" s="7">
        <v>1.0163077523997401</v>
      </c>
      <c r="M35" s="8">
        <v>1.0326155047994805</v>
      </c>
      <c r="N35" s="9">
        <v>1.0489232571992206</v>
      </c>
      <c r="O35" s="7">
        <v>1.2614538894284886</v>
      </c>
      <c r="P35" s="8">
        <v>2.1166775551386721</v>
      </c>
      <c r="Q35" s="9">
        <v>2.3816319664958918</v>
      </c>
      <c r="R35" s="7">
        <v>0.9154948622525797</v>
      </c>
      <c r="S35" s="8">
        <v>0.8309897245051594</v>
      </c>
      <c r="T35" s="9">
        <v>0.7464845867577391</v>
      </c>
      <c r="U35" s="7">
        <v>1.6844726326800747</v>
      </c>
      <c r="V35" s="8">
        <v>2.3958339464917993</v>
      </c>
      <c r="W35" s="9">
        <v>2.6737577855563446</v>
      </c>
      <c r="X35" s="7">
        <v>0.91963778401243357</v>
      </c>
      <c r="Y35" s="8">
        <v>0.83927556802486714</v>
      </c>
      <c r="Z35" s="9">
        <v>0.7589133520373007</v>
      </c>
      <c r="AA35" s="7">
        <v>1.9770615145407335</v>
      </c>
      <c r="AB35" s="8">
        <v>2.430495852887673</v>
      </c>
      <c r="AC35" s="9">
        <v>2.802653696020351</v>
      </c>
      <c r="AD35" s="7">
        <v>0.9745395007515173</v>
      </c>
      <c r="AE35" s="8">
        <v>0.94907900150303459</v>
      </c>
      <c r="AF35" s="9">
        <v>0.92361850225455189</v>
      </c>
      <c r="AG35" s="7">
        <v>2.6535435659712387</v>
      </c>
      <c r="AH35" s="8">
        <v>2.7154805353532137</v>
      </c>
      <c r="AI35" s="9">
        <v>2.1034810519034428</v>
      </c>
      <c r="AJ35" s="7">
        <v>0.99083465389731484</v>
      </c>
      <c r="AK35" s="8">
        <v>0.9816693077946298</v>
      </c>
      <c r="AL35" s="9">
        <v>0.97250396169194464</v>
      </c>
      <c r="AM35" s="7">
        <v>2.598867523212641</v>
      </c>
      <c r="AN35" s="8">
        <v>3.1977350464252821</v>
      </c>
      <c r="AO35" s="9">
        <v>3.7966025696379235</v>
      </c>
    </row>
    <row r="36" spans="2:41" x14ac:dyDescent="0.25">
      <c r="B36" t="s">
        <v>101</v>
      </c>
      <c r="C36" s="282">
        <v>1.4999999999999999E-2</v>
      </c>
      <c r="D36" s="283">
        <v>1.4999999999999999E-2</v>
      </c>
      <c r="E36" s="283">
        <v>1.4999999999999999E-2</v>
      </c>
      <c r="F36" s="283">
        <v>1.4999999999999999E-2</v>
      </c>
      <c r="G36" s="283">
        <v>1.4999999999999999E-2</v>
      </c>
      <c r="H36" s="281">
        <v>1.4999999999999999E-2</v>
      </c>
      <c r="J36" t="s">
        <v>85</v>
      </c>
      <c r="K36" t="s">
        <v>101</v>
      </c>
      <c r="L36" s="7">
        <v>1.0340243428087657</v>
      </c>
      <c r="M36" s="8">
        <v>1.0680486856175313</v>
      </c>
      <c r="N36" s="9">
        <v>1.1020730284262972</v>
      </c>
      <c r="O36" s="7">
        <v>1.1630577289172219</v>
      </c>
      <c r="P36" s="8">
        <v>1.6964245453443527</v>
      </c>
      <c r="Q36" s="9">
        <v>1.861665401684049</v>
      </c>
      <c r="R36" s="7">
        <v>0.92251678623591826</v>
      </c>
      <c r="S36" s="8">
        <v>0.84503357247183652</v>
      </c>
      <c r="T36" s="9">
        <v>0.7675503587077549</v>
      </c>
      <c r="U36" s="7">
        <v>2.1020100501151644</v>
      </c>
      <c r="V36" s="8">
        <v>2.4158842004855918</v>
      </c>
      <c r="W36" s="9">
        <v>2.5385126133052958</v>
      </c>
      <c r="X36" s="7">
        <v>0.92918216474952153</v>
      </c>
      <c r="Y36" s="8">
        <v>0.85836432949904296</v>
      </c>
      <c r="Z36" s="9">
        <v>0.78754649424856449</v>
      </c>
      <c r="AA36" s="7">
        <v>1.7625465894532766</v>
      </c>
      <c r="AB36" s="8">
        <v>1.9307970736471587</v>
      </c>
      <c r="AC36" s="9">
        <v>2.0688892559284975</v>
      </c>
      <c r="AD36" s="7">
        <v>0.97769278467856924</v>
      </c>
      <c r="AE36" s="8">
        <v>0.95538556935713848</v>
      </c>
      <c r="AF36" s="9">
        <v>0.93307835403570771</v>
      </c>
      <c r="AG36" s="7">
        <v>2.4554590967481116</v>
      </c>
      <c r="AH36" s="8">
        <v>2.4987392595271167</v>
      </c>
      <c r="AI36" s="9">
        <v>2.0710877691705072</v>
      </c>
      <c r="AJ36" s="7">
        <v>1.0056743267335424</v>
      </c>
      <c r="AK36" s="8">
        <v>1.0113486534670846</v>
      </c>
      <c r="AL36" s="9">
        <v>1.017022980200627</v>
      </c>
      <c r="AM36" s="7">
        <v>2.3347209985541708</v>
      </c>
      <c r="AN36" s="8">
        <v>2.6694419971083421</v>
      </c>
      <c r="AO36" s="9">
        <v>3.0041629956625129</v>
      </c>
    </row>
    <row r="37" spans="2:41" x14ac:dyDescent="0.25">
      <c r="B37" t="s">
        <v>102</v>
      </c>
      <c r="C37" s="282">
        <v>1.4999999999999999E-2</v>
      </c>
      <c r="D37" s="283">
        <v>1.4999999999999999E-2</v>
      </c>
      <c r="E37" s="283">
        <v>1.4999999999999999E-2</v>
      </c>
      <c r="F37" s="283">
        <v>1.4999999999999999E-2</v>
      </c>
      <c r="G37" s="283">
        <v>1.4999999999999999E-2</v>
      </c>
      <c r="H37" s="281">
        <v>1.4999999999999999E-2</v>
      </c>
      <c r="J37" t="s">
        <v>86</v>
      </c>
      <c r="K37" t="s">
        <v>102</v>
      </c>
      <c r="L37" s="7">
        <v>1.1094953249533122</v>
      </c>
      <c r="M37" s="8">
        <v>1.2189906499066241</v>
      </c>
      <c r="N37" s="9">
        <v>1.328485974859936</v>
      </c>
      <c r="O37" s="7">
        <v>1.199557700921646</v>
      </c>
      <c r="P37" s="8">
        <v>1.852317041683285</v>
      </c>
      <c r="Q37" s="9">
        <v>2.0545465563983711</v>
      </c>
      <c r="R37" s="7">
        <v>0.95242951138967769</v>
      </c>
      <c r="S37" s="8">
        <v>0.90485902277935537</v>
      </c>
      <c r="T37" s="9">
        <v>0.85728853416903295</v>
      </c>
      <c r="U37" s="7">
        <v>2.0162197824232155</v>
      </c>
      <c r="V37" s="8">
        <v>2.2409334979948872</v>
      </c>
      <c r="W37" s="9">
        <v>2.3287275589166017</v>
      </c>
      <c r="X37" s="7">
        <v>0.96984031462821108</v>
      </c>
      <c r="Y37" s="8">
        <v>0.93968062925642215</v>
      </c>
      <c r="Z37" s="9">
        <v>0.90952094388463323</v>
      </c>
      <c r="AA37" s="7">
        <v>1.6786664693019155</v>
      </c>
      <c r="AB37" s="8">
        <v>1.8079898990419412</v>
      </c>
      <c r="AC37" s="9">
        <v>1.9141325631684136</v>
      </c>
      <c r="AD37" s="7">
        <v>0.99112547287990527</v>
      </c>
      <c r="AE37" s="8">
        <v>0.98225094575981042</v>
      </c>
      <c r="AF37" s="9">
        <v>0.97337641863971569</v>
      </c>
      <c r="AG37" s="7">
        <v>2.1188495840842037</v>
      </c>
      <c r="AH37" s="8">
        <v>2.1495213260700736</v>
      </c>
      <c r="AI37" s="9">
        <v>1.8464537003989951</v>
      </c>
      <c r="AJ37" s="7">
        <v>1.0688899149362969</v>
      </c>
      <c r="AK37" s="8">
        <v>1.1377798298725939</v>
      </c>
      <c r="AL37" s="9">
        <v>1.206669744808891</v>
      </c>
      <c r="AM37" s="7">
        <v>2.4216735712753432</v>
      </c>
      <c r="AN37" s="8">
        <v>2.8433471425506864</v>
      </c>
      <c r="AO37" s="9">
        <v>3.2650207138260301</v>
      </c>
    </row>
    <row r="38" spans="2:41" x14ac:dyDescent="0.25">
      <c r="B38" t="s">
        <v>103</v>
      </c>
      <c r="C38" s="282">
        <v>1.4999999999999999E-2</v>
      </c>
      <c r="D38" s="283">
        <v>1.4999999999999999E-2</v>
      </c>
      <c r="E38" s="283">
        <v>1.4999999999999999E-2</v>
      </c>
      <c r="F38" s="283">
        <v>1.4999999999999999E-2</v>
      </c>
      <c r="G38" s="283">
        <v>1.4999999999999999E-2</v>
      </c>
      <c r="H38" s="281">
        <v>1.4999999999999999E-2</v>
      </c>
      <c r="J38" t="s">
        <v>87</v>
      </c>
      <c r="K38" t="s">
        <v>103</v>
      </c>
      <c r="L38" s="7">
        <v>1.0385723841307344</v>
      </c>
      <c r="M38" s="8">
        <v>1.0771447682614685</v>
      </c>
      <c r="N38" s="9">
        <v>1.1157171523922029</v>
      </c>
      <c r="O38" s="7">
        <v>1.1560141377000646</v>
      </c>
      <c r="P38" s="8">
        <v>1.6663411519132414</v>
      </c>
      <c r="Q38" s="9">
        <v>1.8244441126612441</v>
      </c>
      <c r="R38" s="7">
        <v>0.92431939044466471</v>
      </c>
      <c r="S38" s="8">
        <v>0.84863878088932942</v>
      </c>
      <c r="T38" s="9">
        <v>0.77295817133399414</v>
      </c>
      <c r="U38" s="7">
        <v>2.0375442533546217</v>
      </c>
      <c r="V38" s="8">
        <v>2.2844201459569637</v>
      </c>
      <c r="W38" s="9">
        <v>2.3808728128540126</v>
      </c>
      <c r="X38" s="7">
        <v>0.93163231102387245</v>
      </c>
      <c r="Y38" s="8">
        <v>0.86326462204774501</v>
      </c>
      <c r="Z38" s="9">
        <v>0.79489693307161746</v>
      </c>
      <c r="AA38" s="7">
        <v>1.6950209659953892</v>
      </c>
      <c r="AB38" s="8">
        <v>1.8319341843790591</v>
      </c>
      <c r="AC38" s="9">
        <v>1.944306194482611</v>
      </c>
      <c r="AD38" s="7">
        <v>0.97850226693610476</v>
      </c>
      <c r="AE38" s="8">
        <v>0.95700453387220963</v>
      </c>
      <c r="AF38" s="9">
        <v>0.93550680080831439</v>
      </c>
      <c r="AG38" s="7">
        <v>2.2818004286239248</v>
      </c>
      <c r="AH38" s="8">
        <v>2.3185758389235454</v>
      </c>
      <c r="AI38" s="9">
        <v>1.9551978381657127</v>
      </c>
      <c r="AJ38" s="7">
        <v>1.0094838320449748</v>
      </c>
      <c r="AK38" s="8">
        <v>1.0189676640899497</v>
      </c>
      <c r="AL38" s="9">
        <v>1.0284514961349245</v>
      </c>
      <c r="AM38" s="7">
        <v>2.3161415330136674</v>
      </c>
      <c r="AN38" s="8">
        <v>2.6322830660273349</v>
      </c>
      <c r="AO38" s="9">
        <v>2.9484245990410023</v>
      </c>
    </row>
    <row r="39" spans="2:41" x14ac:dyDescent="0.25">
      <c r="B39" t="s">
        <v>104</v>
      </c>
      <c r="C39" s="282">
        <v>1.4999999999999999E-2</v>
      </c>
      <c r="D39" s="283">
        <v>1.4999999999999999E-2</v>
      </c>
      <c r="E39" s="283">
        <v>1.4999999999999999E-2</v>
      </c>
      <c r="F39" s="283">
        <v>1.4999999999999999E-2</v>
      </c>
      <c r="G39" s="283">
        <v>1.4999999999999999E-2</v>
      </c>
      <c r="H39" s="281">
        <v>1.4999999999999999E-2</v>
      </c>
      <c r="J39" t="s">
        <v>88</v>
      </c>
      <c r="K39" t="s">
        <v>104</v>
      </c>
      <c r="L39" s="7">
        <v>1.045538512253837</v>
      </c>
      <c r="M39" s="8">
        <v>1.091077024507674</v>
      </c>
      <c r="N39" s="9">
        <v>1.1366155367615109</v>
      </c>
      <c r="O39" s="7">
        <v>1.1576430603201406</v>
      </c>
      <c r="P39" s="8">
        <v>1.6732983302243865</v>
      </c>
      <c r="Q39" s="9">
        <v>1.8330520227128579</v>
      </c>
      <c r="R39" s="7">
        <v>0.92708039699328959</v>
      </c>
      <c r="S39" s="8">
        <v>0.85416079398657918</v>
      </c>
      <c r="T39" s="9">
        <v>0.78124119097986888</v>
      </c>
      <c r="U39" s="7">
        <v>2.0189390490073973</v>
      </c>
      <c r="V39" s="8">
        <v>2.2464788542685188</v>
      </c>
      <c r="W39" s="9">
        <v>2.3353770484636946</v>
      </c>
      <c r="X39" s="7">
        <v>0.93538514255269511</v>
      </c>
      <c r="Y39" s="8">
        <v>0.87077028510539023</v>
      </c>
      <c r="Z39" s="9">
        <v>0.80615542765808534</v>
      </c>
      <c r="AA39" s="7">
        <v>1.6760687552275098</v>
      </c>
      <c r="AB39" s="8">
        <v>1.8041866388017997</v>
      </c>
      <c r="AC39" s="9">
        <v>1.9093398466324105</v>
      </c>
      <c r="AD39" s="7">
        <v>0.97974213190657755</v>
      </c>
      <c r="AE39" s="8">
        <v>0.9594842638131551</v>
      </c>
      <c r="AF39" s="9">
        <v>0.93922639571973265</v>
      </c>
      <c r="AG39" s="7">
        <v>2.2231274176740481</v>
      </c>
      <c r="AH39" s="8">
        <v>2.257705106330564</v>
      </c>
      <c r="AI39" s="9">
        <v>1.9160428033824088</v>
      </c>
      <c r="AJ39" s="7">
        <v>1.0153187618986008</v>
      </c>
      <c r="AK39" s="8">
        <v>1.0306375237972016</v>
      </c>
      <c r="AL39" s="9">
        <v>1.0459562856958025</v>
      </c>
      <c r="AM39" s="7">
        <v>2.3197049920285218</v>
      </c>
      <c r="AN39" s="8">
        <v>2.6394099840570435</v>
      </c>
      <c r="AO39" s="9">
        <v>2.9591149760855657</v>
      </c>
    </row>
    <row r="40" spans="2:41" x14ac:dyDescent="0.25">
      <c r="B40" t="s">
        <v>105</v>
      </c>
      <c r="C40" s="282">
        <v>1.4999999999999999E-2</v>
      </c>
      <c r="D40" s="283">
        <v>1.4999999999999999E-2</v>
      </c>
      <c r="E40" s="283">
        <v>1.4999999999999999E-2</v>
      </c>
      <c r="F40" s="283">
        <v>1.4999999999999999E-2</v>
      </c>
      <c r="G40" s="283">
        <v>1.4999999999999999E-2</v>
      </c>
      <c r="H40" s="281">
        <v>1.4999999999999999E-2</v>
      </c>
      <c r="J40" t="s">
        <v>89</v>
      </c>
      <c r="K40" t="s">
        <v>105</v>
      </c>
      <c r="L40" s="7">
        <v>0.87325313417867545</v>
      </c>
      <c r="M40" s="8">
        <v>0.7465062683573509</v>
      </c>
      <c r="N40" s="9">
        <v>0.61975940253602624</v>
      </c>
      <c r="O40" s="7">
        <v>1.0798939307988384</v>
      </c>
      <c r="P40" s="8">
        <v>1.3412294210267119</v>
      </c>
      <c r="Q40" s="9">
        <v>1.4221930259365199</v>
      </c>
      <c r="R40" s="7">
        <v>0.85879554080176024</v>
      </c>
      <c r="S40" s="8">
        <v>0.71759108160352048</v>
      </c>
      <c r="T40" s="9">
        <v>0.63402528464580887</v>
      </c>
      <c r="U40" s="7">
        <v>2.3259261477015594</v>
      </c>
      <c r="V40" s="8">
        <v>2.8725126692576182</v>
      </c>
      <c r="W40" s="9">
        <v>3.0860601612315794</v>
      </c>
      <c r="X40" s="7">
        <v>0.84257059947081747</v>
      </c>
      <c r="Y40" s="8">
        <v>0.75365531883579839</v>
      </c>
      <c r="Z40" s="9">
        <v>0.63325415809494257</v>
      </c>
      <c r="AA40" s="7">
        <v>1.9927795566475239</v>
      </c>
      <c r="AB40" s="8">
        <v>2.267876469230766</v>
      </c>
      <c r="AC40" s="9">
        <v>2.493663236974641</v>
      </c>
      <c r="AD40" s="7">
        <v>0.9490779521175754</v>
      </c>
      <c r="AE40" s="8">
        <v>0.8981559042351509</v>
      </c>
      <c r="AF40" s="9">
        <v>0.84723385635272641</v>
      </c>
      <c r="AG40" s="7">
        <v>3.2854109942835454</v>
      </c>
      <c r="AH40" s="8">
        <v>3.3597787596658546</v>
      </c>
      <c r="AI40" s="9">
        <v>2.6249505229369769</v>
      </c>
      <c r="AJ40" s="7">
        <v>0.87101003284435297</v>
      </c>
      <c r="AK40" s="8">
        <v>0.74202006568870593</v>
      </c>
      <c r="AL40" s="9">
        <v>0.61303009853305901</v>
      </c>
      <c r="AM40" s="7">
        <v>2.1388888377608133</v>
      </c>
      <c r="AN40" s="8">
        <v>2.2777776755216266</v>
      </c>
      <c r="AO40" s="9">
        <v>2.4166665132824403</v>
      </c>
    </row>
    <row r="41" spans="2:41" x14ac:dyDescent="0.25">
      <c r="B41" t="s">
        <v>106</v>
      </c>
      <c r="C41" s="282">
        <v>1.4999999999999999E-2</v>
      </c>
      <c r="D41" s="283">
        <v>1.4999999999999999E-2</v>
      </c>
      <c r="E41" s="283">
        <v>1.4999999999999999E-2</v>
      </c>
      <c r="F41" s="283">
        <v>1.4999999999999999E-2</v>
      </c>
      <c r="G41" s="283">
        <v>1.4999999999999999E-2</v>
      </c>
      <c r="H41" s="281">
        <v>1.4999999999999999E-2</v>
      </c>
      <c r="J41" t="s">
        <v>90</v>
      </c>
      <c r="K41" t="s">
        <v>106</v>
      </c>
      <c r="L41" s="7">
        <v>1.0723440943767653</v>
      </c>
      <c r="M41" s="8">
        <v>1.1446881887535305</v>
      </c>
      <c r="N41" s="9">
        <v>1.2170322831302958</v>
      </c>
      <c r="O41" s="7">
        <v>1.1657811351401215</v>
      </c>
      <c r="P41" s="8">
        <v>1.7080562965846364</v>
      </c>
      <c r="Q41" s="9">
        <v>1.8760570219561237</v>
      </c>
      <c r="R41" s="7">
        <v>0.93770471892266338</v>
      </c>
      <c r="S41" s="8">
        <v>0.87540943784532677</v>
      </c>
      <c r="T41" s="9">
        <v>0.81311415676799015</v>
      </c>
      <c r="U41" s="7">
        <v>1.9637490962989808</v>
      </c>
      <c r="V41" s="8">
        <v>2.1339308781806401</v>
      </c>
      <c r="W41" s="9">
        <v>2.2004196979141151</v>
      </c>
      <c r="X41" s="7">
        <v>0.94982599577297211</v>
      </c>
      <c r="Y41" s="8">
        <v>0.89965199154594422</v>
      </c>
      <c r="Z41" s="9">
        <v>0.84947798731891644</v>
      </c>
      <c r="AA41" s="7">
        <v>1.6208247609465924</v>
      </c>
      <c r="AB41" s="8">
        <v>1.7233050325367649</v>
      </c>
      <c r="AC41" s="9">
        <v>1.8074160793041758</v>
      </c>
      <c r="AD41" s="7">
        <v>0.98451311827088606</v>
      </c>
      <c r="AE41" s="8">
        <v>0.96902623654177211</v>
      </c>
      <c r="AF41" s="9">
        <v>0.95353935481265817</v>
      </c>
      <c r="AG41" s="7">
        <v>2.0401007829535858</v>
      </c>
      <c r="AH41" s="8">
        <v>2.0678228221406494</v>
      </c>
      <c r="AI41" s="9">
        <v>1.7939012235873495</v>
      </c>
      <c r="AJ41" s="7">
        <v>1.0377715058919503</v>
      </c>
      <c r="AK41" s="8">
        <v>1.0755430117839007</v>
      </c>
      <c r="AL41" s="9">
        <v>1.1133145176758512</v>
      </c>
      <c r="AM41" s="7">
        <v>2.3384563913721026</v>
      </c>
      <c r="AN41" s="8">
        <v>2.6769127827442056</v>
      </c>
      <c r="AO41" s="9">
        <v>3.0153691741163087</v>
      </c>
    </row>
    <row r="42" spans="2:41" x14ac:dyDescent="0.25">
      <c r="B42" t="s">
        <v>107</v>
      </c>
      <c r="C42" s="282">
        <v>1.4999999999999999E-2</v>
      </c>
      <c r="D42" s="283">
        <v>1.4999999999999999E-2</v>
      </c>
      <c r="E42" s="283">
        <v>1.4999999999999999E-2</v>
      </c>
      <c r="F42" s="283">
        <v>1.4999999999999999E-2</v>
      </c>
      <c r="G42" s="283">
        <v>1.4999999999999999E-2</v>
      </c>
      <c r="H42" s="281">
        <v>1.4999999999999999E-2</v>
      </c>
      <c r="J42" t="s">
        <v>91</v>
      </c>
      <c r="K42" t="s">
        <v>107</v>
      </c>
      <c r="L42" s="7">
        <v>1.0976568635576136</v>
      </c>
      <c r="M42" s="8">
        <v>1.1953137271152274</v>
      </c>
      <c r="N42" s="9">
        <v>1.292970590672841</v>
      </c>
      <c r="O42" s="7">
        <v>1.1898690390949704</v>
      </c>
      <c r="P42" s="8">
        <v>1.8109364708115834</v>
      </c>
      <c r="Q42" s="9">
        <v>2.0033476053268666</v>
      </c>
      <c r="R42" s="7">
        <v>0.9477373683711241</v>
      </c>
      <c r="S42" s="8">
        <v>0.8954747367422482</v>
      </c>
      <c r="T42" s="9">
        <v>0.8432121051133723</v>
      </c>
      <c r="U42" s="7">
        <v>2.0054547644581451</v>
      </c>
      <c r="V42" s="8">
        <v>2.2189805713286979</v>
      </c>
      <c r="W42" s="9">
        <v>2.3024035953709152</v>
      </c>
      <c r="X42" s="7">
        <v>0.9634626324504767</v>
      </c>
      <c r="Y42" s="8">
        <v>0.92692526490095339</v>
      </c>
      <c r="Z42" s="9">
        <v>0.89038789735143009</v>
      </c>
      <c r="AA42" s="7">
        <v>1.6664210348954864</v>
      </c>
      <c r="AB42" s="8">
        <v>1.7900616080648493</v>
      </c>
      <c r="AC42" s="9">
        <v>1.8915400474837696</v>
      </c>
      <c r="AD42" s="7">
        <v>0.98901840661160889</v>
      </c>
      <c r="AE42" s="8">
        <v>0.97803681322321778</v>
      </c>
      <c r="AF42" s="9">
        <v>0.96705521983482667</v>
      </c>
      <c r="AG42" s="7">
        <v>2.1090896275629234</v>
      </c>
      <c r="AH42" s="8">
        <v>2.1393957897475309</v>
      </c>
      <c r="AI42" s="9">
        <v>1.8399404597984621</v>
      </c>
      <c r="AJ42" s="7">
        <v>1.0589738481344719</v>
      </c>
      <c r="AK42" s="8">
        <v>1.1179476962689436</v>
      </c>
      <c r="AL42" s="9">
        <v>1.1769215444034153</v>
      </c>
      <c r="AM42" s="7">
        <v>2.397878630248254</v>
      </c>
      <c r="AN42" s="8">
        <v>2.7957572604965075</v>
      </c>
      <c r="AO42" s="9">
        <v>3.1936358907447615</v>
      </c>
    </row>
    <row r="43" spans="2:41" x14ac:dyDescent="0.25">
      <c r="B43" t="s">
        <v>108</v>
      </c>
      <c r="C43" s="282">
        <v>1.4999999999999999E-2</v>
      </c>
      <c r="D43" s="283">
        <v>1.4999999999999999E-2</v>
      </c>
      <c r="E43" s="283">
        <v>1.4999999999999999E-2</v>
      </c>
      <c r="F43" s="283">
        <v>1.4999999999999999E-2</v>
      </c>
      <c r="G43" s="283">
        <v>1.4999999999999999E-2</v>
      </c>
      <c r="H43" s="281">
        <v>1.4999999999999999E-2</v>
      </c>
      <c r="J43" t="s">
        <v>92</v>
      </c>
      <c r="K43" t="s">
        <v>108</v>
      </c>
      <c r="L43" s="7">
        <v>0.85641029038638905</v>
      </c>
      <c r="M43" s="8">
        <v>0.7128205807727781</v>
      </c>
      <c r="N43" s="9">
        <v>0.62615395827508391</v>
      </c>
      <c r="O43" s="7">
        <v>1.0191877575863761</v>
      </c>
      <c r="P43" s="8">
        <v>1.0819514992757777</v>
      </c>
      <c r="Q43" s="9">
        <v>1.1013961555693834</v>
      </c>
      <c r="R43" s="7">
        <v>0.83789207311149139</v>
      </c>
      <c r="S43" s="8">
        <v>0.67578414622298288</v>
      </c>
      <c r="T43" s="9">
        <v>0.61641146320136919</v>
      </c>
      <c r="U43" s="7">
        <v>1.917676361180187</v>
      </c>
      <c r="V43" s="8">
        <v>2.0399754961594048</v>
      </c>
      <c r="W43" s="9">
        <v>2.0877569040709023</v>
      </c>
      <c r="X43" s="7">
        <v>0.89756863526076225</v>
      </c>
      <c r="Y43" s="8">
        <v>0.7951372705215245</v>
      </c>
      <c r="Z43" s="9">
        <v>0.69270590578228664</v>
      </c>
      <c r="AA43" s="7">
        <v>1.7426810562363044</v>
      </c>
      <c r="AB43" s="8">
        <v>1.9017123512838601</v>
      </c>
      <c r="AC43" s="9">
        <v>2.032237851340299</v>
      </c>
      <c r="AD43" s="7">
        <v>0.93969098512052829</v>
      </c>
      <c r="AE43" s="8">
        <v>0.87938197024105658</v>
      </c>
      <c r="AF43" s="9">
        <v>0.81907295536158475</v>
      </c>
      <c r="AG43" s="7">
        <v>2.3054311811503352</v>
      </c>
      <c r="AH43" s="8">
        <v>2.3430917312344901</v>
      </c>
      <c r="AI43" s="9">
        <v>1.9709676601357784</v>
      </c>
      <c r="AJ43" s="7">
        <v>0.9565213803314111</v>
      </c>
      <c r="AK43" s="8">
        <v>0.91304276066282219</v>
      </c>
      <c r="AL43" s="9">
        <v>0.86956414099423329</v>
      </c>
      <c r="AM43" s="7">
        <v>2.2309407263605552</v>
      </c>
      <c r="AN43" s="8">
        <v>2.4618814527211108</v>
      </c>
      <c r="AO43" s="9">
        <v>2.692822179081666</v>
      </c>
    </row>
    <row r="44" spans="2:41" x14ac:dyDescent="0.25">
      <c r="B44" t="s">
        <v>109</v>
      </c>
      <c r="C44" s="282">
        <v>1.4999999999999999E-2</v>
      </c>
      <c r="D44" s="283">
        <v>1.4999999999999999E-2</v>
      </c>
      <c r="E44" s="283">
        <v>1.4999999999999999E-2</v>
      </c>
      <c r="F44" s="283">
        <v>1.4999999999999999E-2</v>
      </c>
      <c r="G44" s="283">
        <v>1.4999999999999999E-2</v>
      </c>
      <c r="H44" s="281">
        <v>1.4999999999999999E-2</v>
      </c>
      <c r="J44" t="s">
        <v>93</v>
      </c>
      <c r="K44" t="s">
        <v>109</v>
      </c>
      <c r="L44" s="7">
        <v>0.97878133883390384</v>
      </c>
      <c r="M44" s="8">
        <v>0.95756267766780756</v>
      </c>
      <c r="N44" s="9">
        <v>0.9363440165017114</v>
      </c>
      <c r="O44" s="7">
        <v>1.1132926579666258</v>
      </c>
      <c r="P44" s="8">
        <v>1.4838764058544869</v>
      </c>
      <c r="Q44" s="9">
        <v>1.5986859027346334</v>
      </c>
      <c r="R44" s="7">
        <v>0.84061819723443343</v>
      </c>
      <c r="S44" s="8">
        <v>0.68123639446886686</v>
      </c>
      <c r="T44" s="9">
        <v>0.62622551004396032</v>
      </c>
      <c r="U44" s="7">
        <v>1.8582357817430133</v>
      </c>
      <c r="V44" s="8">
        <v>1.9187592858740048</v>
      </c>
      <c r="W44" s="9">
        <v>1.9424053912990968</v>
      </c>
      <c r="X44" s="7">
        <v>0.89942134447747091</v>
      </c>
      <c r="Y44" s="8">
        <v>0.79884268895494182</v>
      </c>
      <c r="Z44" s="9">
        <v>0.69826403343241272</v>
      </c>
      <c r="AA44" s="7">
        <v>1.6761205476264891</v>
      </c>
      <c r="AB44" s="8">
        <v>1.8042624669977205</v>
      </c>
      <c r="AC44" s="9">
        <v>1.909435402294011</v>
      </c>
      <c r="AD44" s="7">
        <v>0.94091518569581478</v>
      </c>
      <c r="AE44" s="8">
        <v>0.88183037139162956</v>
      </c>
      <c r="AF44" s="9">
        <v>0.82274555708744446</v>
      </c>
      <c r="AG44" s="7">
        <v>2.1409832088163689</v>
      </c>
      <c r="AH44" s="8">
        <v>2.1724840125007394</v>
      </c>
      <c r="AI44" s="9">
        <v>1.8612244243185307</v>
      </c>
      <c r="AJ44" s="7">
        <v>0.95940198614481753</v>
      </c>
      <c r="AK44" s="8">
        <v>0.91880397228963506</v>
      </c>
      <c r="AL44" s="9">
        <v>0.87820595843445259</v>
      </c>
      <c r="AM44" s="7">
        <v>2.212013957198117</v>
      </c>
      <c r="AN44" s="8">
        <v>2.424027914396234</v>
      </c>
      <c r="AO44" s="9">
        <v>2.6360418715943505</v>
      </c>
    </row>
    <row r="45" spans="2:41" x14ac:dyDescent="0.25">
      <c r="B45" t="s">
        <v>110</v>
      </c>
      <c r="C45" s="282">
        <v>1.4999999999999999E-2</v>
      </c>
      <c r="D45" s="283">
        <v>1.4999999999999999E-2</v>
      </c>
      <c r="E45" s="283">
        <v>1.4999999999999999E-2</v>
      </c>
      <c r="F45" s="283">
        <v>1.4999999999999999E-2</v>
      </c>
      <c r="G45" s="283">
        <v>1.4999999999999999E-2</v>
      </c>
      <c r="H45" s="281">
        <v>1.4999999999999999E-2</v>
      </c>
      <c r="J45" t="s">
        <v>94</v>
      </c>
      <c r="K45" t="s">
        <v>110</v>
      </c>
      <c r="L45" s="7">
        <v>0.86742809049465508</v>
      </c>
      <c r="M45" s="8">
        <v>0.73485618098931016</v>
      </c>
      <c r="N45" s="9">
        <v>0.60228427148396513</v>
      </c>
      <c r="O45" s="7">
        <v>1.260143104845511</v>
      </c>
      <c r="P45" s="8">
        <v>2.1110791541103588</v>
      </c>
      <c r="Q45" s="9">
        <v>2.3747052312119359</v>
      </c>
      <c r="R45" s="7">
        <v>0.85648680006753974</v>
      </c>
      <c r="S45" s="8">
        <v>0.71297360013507949</v>
      </c>
      <c r="T45" s="9">
        <v>0.62640644022288106</v>
      </c>
      <c r="U45" s="7">
        <v>1.9189318432176168</v>
      </c>
      <c r="V45" s="8">
        <v>2.0425357803305819</v>
      </c>
      <c r="W45" s="9">
        <v>2.0908269652164386</v>
      </c>
      <c r="X45" s="7">
        <v>0.83943249933716324</v>
      </c>
      <c r="Y45" s="8">
        <v>0.74675149854175915</v>
      </c>
      <c r="Z45" s="9">
        <v>0.62195699761378753</v>
      </c>
      <c r="AA45" s="7">
        <v>1.5573794236332239</v>
      </c>
      <c r="AB45" s="8">
        <v>1.6304160070648177</v>
      </c>
      <c r="AC45" s="9">
        <v>1.6903610422352344</v>
      </c>
      <c r="AD45" s="7">
        <v>0.94804118284091832</v>
      </c>
      <c r="AE45" s="8">
        <v>0.89608236568183652</v>
      </c>
      <c r="AF45" s="9">
        <v>0.84412354852275484</v>
      </c>
      <c r="AG45" s="7">
        <v>2.2367524141062227</v>
      </c>
      <c r="AH45" s="8">
        <v>2.2718404558034542</v>
      </c>
      <c r="AI45" s="9">
        <v>1.9251353520787751</v>
      </c>
      <c r="AJ45" s="7">
        <v>0.97616981750913312</v>
      </c>
      <c r="AK45" s="8">
        <v>0.95233963501826624</v>
      </c>
      <c r="AL45" s="9">
        <v>0.92850945252739936</v>
      </c>
      <c r="AM45" s="7">
        <v>2.2606397929202378</v>
      </c>
      <c r="AN45" s="8">
        <v>2.5212795858404755</v>
      </c>
      <c r="AO45" s="9">
        <v>2.7819193787607128</v>
      </c>
    </row>
    <row r="46" spans="2:41" x14ac:dyDescent="0.25">
      <c r="B46" t="s">
        <v>111</v>
      </c>
      <c r="C46" s="282">
        <v>1.4999999999999999E-2</v>
      </c>
      <c r="D46" s="283">
        <v>1.4999999999999999E-2</v>
      </c>
      <c r="E46" s="283">
        <v>1.4999999999999999E-2</v>
      </c>
      <c r="F46" s="283">
        <v>1.4999999999999999E-2</v>
      </c>
      <c r="G46" s="283">
        <v>1.4999999999999999E-2</v>
      </c>
      <c r="H46" s="281">
        <v>1.4999999999999999E-2</v>
      </c>
      <c r="J46" t="s">
        <v>95</v>
      </c>
      <c r="K46" t="s">
        <v>111</v>
      </c>
      <c r="L46" s="7">
        <v>1.0432468358772014</v>
      </c>
      <c r="M46" s="8">
        <v>1.0864936717544027</v>
      </c>
      <c r="N46" s="9">
        <v>1.1297405076316041</v>
      </c>
      <c r="O46" s="7">
        <v>1.1523480669653443</v>
      </c>
      <c r="P46" s="8">
        <v>1.650683251723033</v>
      </c>
      <c r="Q46" s="9">
        <v>1.8050710578958444</v>
      </c>
      <c r="R46" s="7">
        <v>0.92617209709248305</v>
      </c>
      <c r="S46" s="8">
        <v>0.8523441941849661</v>
      </c>
      <c r="T46" s="9">
        <v>0.77851629127744926</v>
      </c>
      <c r="U46" s="7">
        <v>1.9965083579840797</v>
      </c>
      <c r="V46" s="8">
        <v>2.2007363096016532</v>
      </c>
      <c r="W46" s="9">
        <v>2.2805267272920746</v>
      </c>
      <c r="X46" s="7">
        <v>0.93415055782957268</v>
      </c>
      <c r="Y46" s="8">
        <v>0.86830111565914536</v>
      </c>
      <c r="Z46" s="9">
        <v>0.80245167348871804</v>
      </c>
      <c r="AA46" s="7">
        <v>1.6524164346467978</v>
      </c>
      <c r="AB46" s="8">
        <v>1.7695577582263713</v>
      </c>
      <c r="AC46" s="9">
        <v>1.8657019154686596</v>
      </c>
      <c r="AD46" s="7">
        <v>0.97933424832866467</v>
      </c>
      <c r="AE46" s="8">
        <v>0.95866849665732945</v>
      </c>
      <c r="AF46" s="9">
        <v>0.93800274498599412</v>
      </c>
      <c r="AG46" s="7">
        <v>2.1687313378954878</v>
      </c>
      <c r="AH46" s="8">
        <v>2.2012715064061315</v>
      </c>
      <c r="AI46" s="9">
        <v>1.8797419495260352</v>
      </c>
      <c r="AJ46" s="7">
        <v>1.0133992205596274</v>
      </c>
      <c r="AK46" s="8">
        <v>1.0267984411192548</v>
      </c>
      <c r="AL46" s="9">
        <v>1.0401976616788824</v>
      </c>
      <c r="AM46" s="7">
        <v>2.3063628435276637</v>
      </c>
      <c r="AN46" s="8">
        <v>2.6127256870553275</v>
      </c>
      <c r="AO46" s="9">
        <v>2.9190885305829912</v>
      </c>
    </row>
    <row r="47" spans="2:41" x14ac:dyDescent="0.25">
      <c r="B47" t="s">
        <v>112</v>
      </c>
      <c r="C47" s="282">
        <v>1.4999999999999999E-2</v>
      </c>
      <c r="D47" s="283">
        <v>1.4999999999999999E-2</v>
      </c>
      <c r="E47" s="283">
        <v>1.4999999999999999E-2</v>
      </c>
      <c r="F47" s="283">
        <v>1.4999999999999999E-2</v>
      </c>
      <c r="G47" s="283">
        <v>1.4999999999999999E-2</v>
      </c>
      <c r="H47" s="281">
        <v>1.4999999999999999E-2</v>
      </c>
      <c r="J47" t="s">
        <v>96</v>
      </c>
      <c r="K47" t="s">
        <v>112</v>
      </c>
      <c r="L47" s="7">
        <v>1.0659182957282338</v>
      </c>
      <c r="M47" s="8">
        <v>1.1318365914564674</v>
      </c>
      <c r="N47" s="9">
        <v>1.1977548871847012</v>
      </c>
      <c r="O47" s="7">
        <v>1.1686137005868873</v>
      </c>
      <c r="P47" s="8">
        <v>1.7201542702073609</v>
      </c>
      <c r="Q47" s="9">
        <v>1.8910254853322002</v>
      </c>
      <c r="R47" s="7">
        <v>0.93515787053928356</v>
      </c>
      <c r="S47" s="8">
        <v>0.87031574107856724</v>
      </c>
      <c r="T47" s="9">
        <v>0.8054736116178508</v>
      </c>
      <c r="U47" s="7">
        <v>2.0035426349701502</v>
      </c>
      <c r="V47" s="8">
        <v>2.2150811966539496</v>
      </c>
      <c r="W47" s="9">
        <v>2.2977278180429135</v>
      </c>
      <c r="X47" s="7">
        <v>0.94636425356267606</v>
      </c>
      <c r="Y47" s="8">
        <v>0.89272850712535223</v>
      </c>
      <c r="Z47" s="9">
        <v>0.83909276068802829</v>
      </c>
      <c r="AA47" s="7">
        <v>1.6616662294607973</v>
      </c>
      <c r="AB47" s="8">
        <v>1.7831001943213065</v>
      </c>
      <c r="AC47" s="9">
        <v>1.8827675521360954</v>
      </c>
      <c r="AD47" s="7">
        <v>0.98336942373773462</v>
      </c>
      <c r="AE47" s="8">
        <v>0.96673884747546923</v>
      </c>
      <c r="AF47" s="9">
        <v>0.95010827121320374</v>
      </c>
      <c r="AG47" s="7">
        <v>2.152377717099184</v>
      </c>
      <c r="AH47" s="8">
        <v>2.184305326176021</v>
      </c>
      <c r="AI47" s="9">
        <v>1.8688284719194528</v>
      </c>
      <c r="AJ47" s="7">
        <v>1.0323891638354845</v>
      </c>
      <c r="AK47" s="8">
        <v>1.0647783276709688</v>
      </c>
      <c r="AL47" s="9">
        <v>1.0971674915064533</v>
      </c>
      <c r="AM47" s="7">
        <v>2.3460859356534436</v>
      </c>
      <c r="AN47" s="8">
        <v>2.6921718713068872</v>
      </c>
      <c r="AO47" s="9">
        <v>3.0382578069603312</v>
      </c>
    </row>
    <row r="48" spans="2:41" x14ac:dyDescent="0.25">
      <c r="B48" t="s">
        <v>113</v>
      </c>
      <c r="C48" s="282">
        <v>1.4999999999999999E-2</v>
      </c>
      <c r="D48" s="283">
        <v>1.4999999999999999E-2</v>
      </c>
      <c r="E48" s="283">
        <v>1.4999999999999999E-2</v>
      </c>
      <c r="F48" s="283">
        <v>1.4999999999999999E-2</v>
      </c>
      <c r="G48" s="283">
        <v>1.4999999999999999E-2</v>
      </c>
      <c r="H48" s="281">
        <v>1.4999999999999999E-2</v>
      </c>
      <c r="J48" t="s">
        <v>97</v>
      </c>
      <c r="K48" t="s">
        <v>113</v>
      </c>
      <c r="L48" s="7">
        <v>1.0525595343365874</v>
      </c>
      <c r="M48" s="8">
        <v>1.1051190686731749</v>
      </c>
      <c r="N48" s="9">
        <v>1.1576786030097623</v>
      </c>
      <c r="O48" s="7">
        <v>1.1554885808614301</v>
      </c>
      <c r="P48" s="8">
        <v>1.6640964825876652</v>
      </c>
      <c r="Q48" s="9">
        <v>1.8216668499857676</v>
      </c>
      <c r="R48" s="7">
        <v>0.92986316061835483</v>
      </c>
      <c r="S48" s="8">
        <v>0.85972632123670967</v>
      </c>
      <c r="T48" s="9">
        <v>0.7895894818550645</v>
      </c>
      <c r="U48" s="7">
        <v>1.9788547524355073</v>
      </c>
      <c r="V48" s="8">
        <v>2.1647355979206204</v>
      </c>
      <c r="W48" s="9">
        <v>2.2373579308796194</v>
      </c>
      <c r="X48" s="7">
        <v>0.93916754686267645</v>
      </c>
      <c r="Y48" s="8">
        <v>0.8783350937253529</v>
      </c>
      <c r="Z48" s="9">
        <v>0.81750264058802946</v>
      </c>
      <c r="AA48" s="7">
        <v>1.6347812758617317</v>
      </c>
      <c r="AB48" s="8">
        <v>1.7437384816182748</v>
      </c>
      <c r="AC48" s="9">
        <v>1.8331654950993157</v>
      </c>
      <c r="AD48" s="7">
        <v>0.98099176716787106</v>
      </c>
      <c r="AE48" s="8">
        <v>0.96198353433574224</v>
      </c>
      <c r="AF48" s="9">
        <v>0.94297530150361331</v>
      </c>
      <c r="AG48" s="7">
        <v>2.1090421811121085</v>
      </c>
      <c r="AH48" s="8">
        <v>2.1393465660896123</v>
      </c>
      <c r="AI48" s="9">
        <v>1.8399087967322254</v>
      </c>
      <c r="AJ48" s="7">
        <v>1.0211996717282297</v>
      </c>
      <c r="AK48" s="8">
        <v>1.0423993434564591</v>
      </c>
      <c r="AL48" s="9">
        <v>1.0635990151846888</v>
      </c>
      <c r="AM48" s="7">
        <v>2.3136598494329084</v>
      </c>
      <c r="AN48" s="8">
        <v>2.6273196988658163</v>
      </c>
      <c r="AO48" s="9">
        <v>2.9409795482987247</v>
      </c>
    </row>
    <row r="49" spans="2:41" x14ac:dyDescent="0.25">
      <c r="B49" t="s">
        <v>114</v>
      </c>
      <c r="C49" s="282">
        <v>1.4999999999999999E-2</v>
      </c>
      <c r="D49" s="283">
        <v>1.4999999999999999E-2</v>
      </c>
      <c r="E49" s="283">
        <v>1.4999999999999999E-2</v>
      </c>
      <c r="F49" s="283">
        <v>1.4999999999999999E-2</v>
      </c>
      <c r="G49" s="283">
        <v>1.4999999999999999E-2</v>
      </c>
      <c r="H49" s="281">
        <v>1.4999999999999999E-2</v>
      </c>
      <c r="J49" t="s">
        <v>98</v>
      </c>
      <c r="K49" t="s">
        <v>114</v>
      </c>
      <c r="L49" s="7">
        <v>1.0376683114893375</v>
      </c>
      <c r="M49" s="8">
        <v>1.0753366229786752</v>
      </c>
      <c r="N49" s="9">
        <v>1.1130049344680126</v>
      </c>
      <c r="O49" s="7">
        <v>1.1446221625613924</v>
      </c>
      <c r="P49" s="8">
        <v>1.6176856778108659</v>
      </c>
      <c r="Q49" s="9">
        <v>1.7642441399336584</v>
      </c>
      <c r="R49" s="7">
        <v>0.92396106363252206</v>
      </c>
      <c r="S49" s="8">
        <v>0.84792212726504412</v>
      </c>
      <c r="T49" s="9">
        <v>0.77188319089756607</v>
      </c>
      <c r="U49" s="7">
        <v>1.9730118141923436</v>
      </c>
      <c r="V49" s="8">
        <v>2.1528201886585596</v>
      </c>
      <c r="W49" s="9">
        <v>2.2230700500965295</v>
      </c>
      <c r="X49" s="7">
        <v>0.93114526395080366</v>
      </c>
      <c r="Y49" s="8">
        <v>0.86229052790160732</v>
      </c>
      <c r="Z49" s="9">
        <v>0.79343579185241098</v>
      </c>
      <c r="AA49" s="7">
        <v>1.6274136724205184</v>
      </c>
      <c r="AB49" s="8">
        <v>1.7329517235569563</v>
      </c>
      <c r="AC49" s="9">
        <v>1.8195724537437177</v>
      </c>
      <c r="AD49" s="7">
        <v>0.97834135574138914</v>
      </c>
      <c r="AE49" s="8">
        <v>0.95668271148277839</v>
      </c>
      <c r="AF49" s="9">
        <v>0.93502406722416753</v>
      </c>
      <c r="AG49" s="7">
        <v>2.1166180307070617</v>
      </c>
      <c r="AH49" s="8">
        <v>2.1472061851443249</v>
      </c>
      <c r="AI49" s="9">
        <v>1.8449644884310352</v>
      </c>
      <c r="AJ49" s="7">
        <v>1.0087265677007207</v>
      </c>
      <c r="AK49" s="8">
        <v>1.0174531354014411</v>
      </c>
      <c r="AL49" s="9">
        <v>1.0261797031021618</v>
      </c>
      <c r="AM49" s="7">
        <v>2.2870950360748679</v>
      </c>
      <c r="AN49" s="8">
        <v>2.5741900721497362</v>
      </c>
      <c r="AO49" s="9">
        <v>2.861285108224604</v>
      </c>
    </row>
    <row r="50" spans="2:41" x14ac:dyDescent="0.25">
      <c r="B50" s="11" t="s">
        <v>115</v>
      </c>
      <c r="C50" s="284">
        <v>1.4999999999999999E-2</v>
      </c>
      <c r="D50" s="285">
        <v>1.4999999999999999E-2</v>
      </c>
      <c r="E50" s="285">
        <v>1.4999999999999999E-2</v>
      </c>
      <c r="F50" s="285">
        <v>1.4999999999999999E-2</v>
      </c>
      <c r="G50" s="285">
        <v>1.4999999999999999E-2</v>
      </c>
      <c r="H50" s="286">
        <v>1.4999999999999999E-2</v>
      </c>
      <c r="J50" s="11" t="s">
        <v>99</v>
      </c>
      <c r="K50" s="11" t="s">
        <v>115</v>
      </c>
      <c r="L50" s="10">
        <v>0.97545073015373451</v>
      </c>
      <c r="M50" s="11">
        <v>0.95090146030746903</v>
      </c>
      <c r="N50" s="12">
        <v>0.92635219046120354</v>
      </c>
      <c r="O50" s="10">
        <v>1.1261683733924428</v>
      </c>
      <c r="P50" s="11">
        <v>1.5388689800854212</v>
      </c>
      <c r="Q50" s="12">
        <v>1.6667265811988137</v>
      </c>
      <c r="R50" s="10">
        <v>0.89930128901001771</v>
      </c>
      <c r="S50" s="11">
        <v>0.79860257802003543</v>
      </c>
      <c r="T50" s="12">
        <v>0.69790386703005303</v>
      </c>
      <c r="U50" s="10">
        <v>2.1258760394668528</v>
      </c>
      <c r="V50" s="11">
        <v>2.4645537257714465</v>
      </c>
      <c r="W50" s="12">
        <v>2.5968727048271205</v>
      </c>
      <c r="X50" s="10">
        <v>0.89762706032934325</v>
      </c>
      <c r="Y50" s="11">
        <v>0.7952541206586865</v>
      </c>
      <c r="Z50" s="12">
        <v>0.69288118098802975</v>
      </c>
      <c r="AA50" s="10">
        <v>1.7838594491034778</v>
      </c>
      <c r="AB50" s="11">
        <v>1.9620007971477418</v>
      </c>
      <c r="AC50" s="12">
        <v>2.1082109410521381</v>
      </c>
      <c r="AD50" s="10">
        <v>0.96726757152692455</v>
      </c>
      <c r="AE50" s="11">
        <v>0.9345351430538491</v>
      </c>
      <c r="AF50" s="12">
        <v>0.90180271458077366</v>
      </c>
      <c r="AG50" s="10">
        <v>2.6071742167274201</v>
      </c>
      <c r="AH50" s="11">
        <v>2.6561371900076547</v>
      </c>
      <c r="AI50" s="12">
        <v>2.1723338225734548</v>
      </c>
      <c r="AJ50" s="10">
        <v>0.9566122200544962</v>
      </c>
      <c r="AK50" s="11">
        <v>0.91322444010899251</v>
      </c>
      <c r="AL50" s="12">
        <v>0.86983666016348871</v>
      </c>
      <c r="AM50" s="10">
        <v>2.2457458291894832</v>
      </c>
      <c r="AN50" s="11">
        <v>2.4914916583789668</v>
      </c>
      <c r="AO50" s="12">
        <v>2.73723748756845</v>
      </c>
    </row>
    <row r="53" spans="2:41" x14ac:dyDescent="0.25">
      <c r="E53" s="408" t="s">
        <v>124</v>
      </c>
      <c r="F53" s="409"/>
      <c r="G53" s="409"/>
      <c r="H53" s="409"/>
      <c r="I53" s="409"/>
      <c r="J53" s="410"/>
      <c r="L53" s="411" t="s">
        <v>21</v>
      </c>
      <c r="M53" s="412"/>
      <c r="N53" s="412"/>
      <c r="O53" s="412"/>
      <c r="P53" s="412"/>
      <c r="Q53" s="413"/>
      <c r="R53" s="412" t="s">
        <v>125</v>
      </c>
      <c r="S53" s="412"/>
      <c r="T53" s="412"/>
      <c r="U53" s="412"/>
      <c r="V53" s="412"/>
      <c r="W53" s="413"/>
      <c r="Z53" s="414" t="s">
        <v>150</v>
      </c>
      <c r="AA53" s="406" t="s">
        <v>0</v>
      </c>
      <c r="AB53" s="406"/>
      <c r="AC53" s="406"/>
      <c r="AD53" s="406" t="s">
        <v>1</v>
      </c>
      <c r="AE53" s="406"/>
      <c r="AF53" s="406"/>
      <c r="AG53" s="8"/>
    </row>
    <row r="54" spans="2:41" x14ac:dyDescent="0.25">
      <c r="B54" t="s">
        <v>123</v>
      </c>
      <c r="C54" s="20" t="str">
        <f>'CR Path Generator'!C9</f>
        <v>NFC-RE</v>
      </c>
      <c r="E54" s="405" t="s">
        <v>0</v>
      </c>
      <c r="F54" s="406"/>
      <c r="G54" s="407"/>
      <c r="H54" s="406" t="s">
        <v>1</v>
      </c>
      <c r="I54" s="406"/>
      <c r="J54" s="407"/>
      <c r="L54" s="408" t="s">
        <v>0</v>
      </c>
      <c r="M54" s="409"/>
      <c r="N54" s="410"/>
      <c r="O54" s="408" t="s">
        <v>1</v>
      </c>
      <c r="P54" s="409"/>
      <c r="Q54" s="410"/>
      <c r="R54" s="408" t="s">
        <v>0</v>
      </c>
      <c r="S54" s="409"/>
      <c r="T54" s="410"/>
      <c r="U54" s="408" t="s">
        <v>1</v>
      </c>
      <c r="V54" s="409"/>
      <c r="W54" s="410"/>
      <c r="Z54" s="415"/>
      <c r="AA54" s="14">
        <v>2018</v>
      </c>
      <c r="AB54" s="14">
        <v>2019</v>
      </c>
      <c r="AC54" s="14">
        <v>2020</v>
      </c>
      <c r="AD54" s="14">
        <v>2018</v>
      </c>
      <c r="AE54" s="14">
        <v>2019</v>
      </c>
      <c r="AF54" s="14">
        <v>2020</v>
      </c>
    </row>
    <row r="55" spans="2:41" x14ac:dyDescent="0.25">
      <c r="B55" t="s">
        <v>10</v>
      </c>
      <c r="C55" s="20" t="str">
        <f>VLOOKUP('CR Path Generator'!D9,'Processor PDs'!$J$7:$K$50,2,FALSE)</f>
        <v>DK</v>
      </c>
      <c r="E55" s="13" t="s">
        <v>11</v>
      </c>
      <c r="F55" s="14" t="s">
        <v>12</v>
      </c>
      <c r="G55" s="15" t="s">
        <v>13</v>
      </c>
      <c r="H55" s="14" t="s">
        <v>11</v>
      </c>
      <c r="I55" s="14" t="s">
        <v>12</v>
      </c>
      <c r="J55" s="15" t="s">
        <v>13</v>
      </c>
      <c r="L55" s="13" t="s">
        <v>11</v>
      </c>
      <c r="M55" s="14" t="s">
        <v>12</v>
      </c>
      <c r="N55" s="15" t="s">
        <v>13</v>
      </c>
      <c r="O55" s="14" t="s">
        <v>11</v>
      </c>
      <c r="P55" s="14" t="s">
        <v>12</v>
      </c>
      <c r="Q55" s="15" t="s">
        <v>13</v>
      </c>
      <c r="R55" s="13" t="s">
        <v>11</v>
      </c>
      <c r="S55" s="14" t="s">
        <v>12</v>
      </c>
      <c r="T55" s="15" t="s">
        <v>13</v>
      </c>
      <c r="U55" s="14" t="s">
        <v>11</v>
      </c>
      <c r="V55" s="14" t="s">
        <v>12</v>
      </c>
      <c r="W55" s="15" t="s">
        <v>13</v>
      </c>
      <c r="Z55" t="s">
        <v>67</v>
      </c>
      <c r="AA55">
        <v>2.204523694554893E-2</v>
      </c>
      <c r="AB55">
        <v>2.2509307564452654E-2</v>
      </c>
      <c r="AC55">
        <v>2.2955031894071946E-2</v>
      </c>
      <c r="AD55">
        <v>2.376061658161821E-2</v>
      </c>
      <c r="AE55">
        <v>2.7098063062015156E-2</v>
      </c>
      <c r="AF55">
        <v>2.9568220297885736E-2</v>
      </c>
    </row>
    <row r="56" spans="2:41" x14ac:dyDescent="0.25">
      <c r="B56" t="s">
        <v>126</v>
      </c>
      <c r="C56" s="19">
        <f>'CR Path Generator'!C17</f>
        <v>1.4999999999999999E-2</v>
      </c>
      <c r="E56" s="26">
        <f t="shared" ref="E56:J56" si="0">INDEX($L$7:$AO$50,MATCH($C$55,$K$7:$K$50,0),VLOOKUP($C$54,$D$59:$J$63,E$58,FALSE))</f>
        <v>0.98888960362140177</v>
      </c>
      <c r="F56" s="27">
        <f t="shared" si="0"/>
        <v>1.0055309052156207</v>
      </c>
      <c r="G56" s="28">
        <f t="shared" si="0"/>
        <v>1.0108448038373363</v>
      </c>
      <c r="H56" s="27">
        <f t="shared" si="0"/>
        <v>2.1754943751133018</v>
      </c>
      <c r="I56" s="27">
        <f t="shared" si="0"/>
        <v>2.6922468395296502</v>
      </c>
      <c r="J56" s="28">
        <f t="shared" si="0"/>
        <v>2.8623627766493676</v>
      </c>
      <c r="L56" s="29">
        <f>IF($C$54&lt;&gt;"Sovereign",_xlfn.NORM.S.DIST(_xlfn.NORM.S.INV(E56*$C$57)-_xlfn.NORM.S.INV($C$57)+_xlfn.NORM.S.INV($C$56),1),VLOOKUP($C$55,$Z$55:$AF$82,E58,FALSE)/100)</f>
        <v>1.479716759249332E-2</v>
      </c>
      <c r="M56" s="30">
        <f t="shared" ref="M56:Q56" si="1">IF($C$54&lt;&gt;"Sovereign",_xlfn.NORM.S.DIST(_xlfn.NORM.S.INV(F56*$C$57)-_xlfn.NORM.S.INV($C$57)+_xlfn.NORM.S.INV($C$56),1),VLOOKUP($C$55,$Z$55:$AF$82,F58,FALSE)/100)</f>
        <v>1.5101182090084996E-2</v>
      </c>
      <c r="N56" s="31">
        <f t="shared" si="1"/>
        <v>1.5198524842489326E-2</v>
      </c>
      <c r="O56" s="30">
        <f t="shared" si="1"/>
        <v>3.9172428438579467E-2</v>
      </c>
      <c r="P56" s="30">
        <f t="shared" si="1"/>
        <v>5.1239941022748502E-2</v>
      </c>
      <c r="Q56" s="31">
        <f t="shared" si="1"/>
        <v>5.5381862190373672E-2</v>
      </c>
      <c r="R56" s="26">
        <f>L56/$C$56</f>
        <v>0.9864778394995547</v>
      </c>
      <c r="S56" s="27">
        <f t="shared" ref="S56:W56" si="2">M56/$C$56</f>
        <v>1.0067454726723331</v>
      </c>
      <c r="T56" s="28">
        <f t="shared" si="2"/>
        <v>1.0132349894992885</v>
      </c>
      <c r="U56" s="27">
        <f t="shared" si="2"/>
        <v>2.6114952292386313</v>
      </c>
      <c r="V56" s="27">
        <f t="shared" si="2"/>
        <v>3.4159960681832335</v>
      </c>
      <c r="W56" s="28">
        <f t="shared" si="2"/>
        <v>3.6921241460249115</v>
      </c>
      <c r="Z56" t="s">
        <v>29</v>
      </c>
      <c r="AA56">
        <v>4.8971382402842767E-2</v>
      </c>
      <c r="AB56">
        <v>5.0913962721335602E-2</v>
      </c>
      <c r="AC56">
        <v>5.02518938136194E-2</v>
      </c>
      <c r="AD56">
        <v>5.9801736834784375E-2</v>
      </c>
      <c r="AE56">
        <v>6.6907345295289342E-2</v>
      </c>
      <c r="AF56">
        <v>6.2248715607891553E-2</v>
      </c>
    </row>
    <row r="57" spans="2:41" x14ac:dyDescent="0.25">
      <c r="B57" t="s">
        <v>127</v>
      </c>
      <c r="C57" s="19">
        <f>INDEX($C$7:$G$50,MATCH($C$55,$B$7:$B$50,0),MATCH($C$54,$C$6:$G$6,0))</f>
        <v>4.8954388664647457E-2</v>
      </c>
      <c r="Z57" t="s">
        <v>31</v>
      </c>
      <c r="AA57">
        <v>0.29695212849474734</v>
      </c>
      <c r="AB57">
        <v>0.36533518019103101</v>
      </c>
      <c r="AC57">
        <v>0.42971618803062195</v>
      </c>
      <c r="AD57">
        <v>0.40409549546057871</v>
      </c>
      <c r="AE57">
        <v>0.54652799748208403</v>
      </c>
      <c r="AF57">
        <v>0.54301920562009742</v>
      </c>
    </row>
    <row r="58" spans="2:41" x14ac:dyDescent="0.25">
      <c r="E58" s="21">
        <v>2</v>
      </c>
      <c r="F58" s="22">
        <v>3</v>
      </c>
      <c r="G58" s="22">
        <v>4</v>
      </c>
      <c r="H58" s="22">
        <v>5</v>
      </c>
      <c r="I58" s="22">
        <v>6</v>
      </c>
      <c r="J58" s="23">
        <v>7</v>
      </c>
      <c r="Z58" t="s">
        <v>53</v>
      </c>
      <c r="AA58">
        <v>0.22814576429000025</v>
      </c>
      <c r="AB58">
        <v>0.16236292302869199</v>
      </c>
      <c r="AC58">
        <v>0.12186725496723858</v>
      </c>
      <c r="AD58">
        <v>0.35595941449420232</v>
      </c>
      <c r="AE58">
        <v>0.35595941449420232</v>
      </c>
      <c r="AF58">
        <v>0.35595941449420232</v>
      </c>
    </row>
    <row r="59" spans="2:41" x14ac:dyDescent="0.25">
      <c r="D59" t="s">
        <v>25</v>
      </c>
      <c r="E59" s="4">
        <v>1</v>
      </c>
      <c r="F59" s="5">
        <v>2</v>
      </c>
      <c r="G59" s="5">
        <v>3</v>
      </c>
      <c r="H59" s="5">
        <v>4</v>
      </c>
      <c r="I59" s="5">
        <v>5</v>
      </c>
      <c r="J59" s="6">
        <v>6</v>
      </c>
      <c r="Z59" t="s">
        <v>33</v>
      </c>
      <c r="AA59">
        <v>0.10020970450799289</v>
      </c>
      <c r="AB59">
        <v>0.11937492817531686</v>
      </c>
      <c r="AC59">
        <v>0.11505039573354703</v>
      </c>
      <c r="AD59">
        <v>0.15356226657289959</v>
      </c>
      <c r="AE59">
        <v>0.19582601533812924</v>
      </c>
      <c r="AF59">
        <v>0.14630669769563556</v>
      </c>
    </row>
    <row r="60" spans="2:41" x14ac:dyDescent="0.25">
      <c r="D60" t="s">
        <v>24</v>
      </c>
      <c r="E60" s="7">
        <f>J59+1</f>
        <v>7</v>
      </c>
      <c r="F60" s="8">
        <f>E60+1</f>
        <v>8</v>
      </c>
      <c r="G60" s="8">
        <f t="shared" ref="G60:J63" si="3">F60+1</f>
        <v>9</v>
      </c>
      <c r="H60" s="24">
        <f t="shared" si="3"/>
        <v>10</v>
      </c>
      <c r="I60" s="24">
        <f t="shared" si="3"/>
        <v>11</v>
      </c>
      <c r="J60" s="9">
        <f t="shared" si="3"/>
        <v>12</v>
      </c>
      <c r="Z60" t="s">
        <v>37</v>
      </c>
      <c r="AA60">
        <v>7.3317569455789442E-3</v>
      </c>
      <c r="AB60">
        <v>7.3889137422923868E-3</v>
      </c>
      <c r="AC60">
        <v>7.3274192940778575E-3</v>
      </c>
      <c r="AD60">
        <v>7.9553710297656666E-3</v>
      </c>
      <c r="AE60">
        <v>8.8828070477738087E-3</v>
      </c>
      <c r="AF60">
        <v>9.3232076461655933E-3</v>
      </c>
    </row>
    <row r="61" spans="2:41" x14ac:dyDescent="0.25">
      <c r="D61" t="s">
        <v>2</v>
      </c>
      <c r="E61" s="7">
        <f>J60+1</f>
        <v>13</v>
      </c>
      <c r="F61" s="8">
        <f>E61+1</f>
        <v>14</v>
      </c>
      <c r="G61" s="8">
        <f t="shared" si="3"/>
        <v>15</v>
      </c>
      <c r="H61" s="24">
        <f t="shared" si="3"/>
        <v>16</v>
      </c>
      <c r="I61" s="24">
        <f t="shared" si="3"/>
        <v>17</v>
      </c>
      <c r="J61" s="9">
        <f t="shared" si="3"/>
        <v>18</v>
      </c>
      <c r="Z61" t="s">
        <v>35</v>
      </c>
      <c r="AA61">
        <v>1.0025928928291126E-2</v>
      </c>
      <c r="AB61">
        <v>1.4760096923562428E-2</v>
      </c>
      <c r="AC61">
        <v>1.5895234326395481E-2</v>
      </c>
      <c r="AD61">
        <v>1.8136462317671066E-2</v>
      </c>
      <c r="AE61">
        <v>1.7996587217477163E-2</v>
      </c>
      <c r="AF61">
        <v>1.8925654015125339E-2</v>
      </c>
    </row>
    <row r="62" spans="2:41" x14ac:dyDescent="0.25">
      <c r="D62" t="s">
        <v>26</v>
      </c>
      <c r="E62" s="7">
        <f>J61+1</f>
        <v>19</v>
      </c>
      <c r="F62" s="8">
        <f>E62+1</f>
        <v>20</v>
      </c>
      <c r="G62" s="8">
        <f t="shared" si="3"/>
        <v>21</v>
      </c>
      <c r="H62" s="24">
        <f t="shared" si="3"/>
        <v>22</v>
      </c>
      <c r="I62" s="24">
        <f t="shared" si="3"/>
        <v>23</v>
      </c>
      <c r="J62" s="9">
        <f t="shared" si="3"/>
        <v>24</v>
      </c>
      <c r="Z62" t="s">
        <v>39</v>
      </c>
      <c r="AA62">
        <v>9.8542601292705326E-2</v>
      </c>
      <c r="AB62">
        <v>9.7473984102897315E-2</v>
      </c>
      <c r="AC62">
        <v>9.8756954284917722E-2</v>
      </c>
      <c r="AD62">
        <v>0.11845421073559505</v>
      </c>
      <c r="AE62">
        <v>0.12804123757355312</v>
      </c>
      <c r="AF62">
        <v>0.14122524008220824</v>
      </c>
    </row>
    <row r="63" spans="2:41" x14ac:dyDescent="0.25">
      <c r="D63" t="s">
        <v>27</v>
      </c>
      <c r="E63" s="10">
        <f>J62+1</f>
        <v>25</v>
      </c>
      <c r="F63" s="11">
        <f>E63+1</f>
        <v>26</v>
      </c>
      <c r="G63" s="11">
        <f t="shared" si="3"/>
        <v>27</v>
      </c>
      <c r="H63" s="25">
        <f t="shared" si="3"/>
        <v>28</v>
      </c>
      <c r="I63" s="25">
        <f t="shared" si="3"/>
        <v>29</v>
      </c>
      <c r="J63" s="12">
        <f t="shared" si="3"/>
        <v>30</v>
      </c>
      <c r="Z63" t="s">
        <v>45</v>
      </c>
      <c r="AA63">
        <v>0.21843694101999181</v>
      </c>
      <c r="AB63">
        <v>0.18783566458615689</v>
      </c>
      <c r="AC63">
        <v>0.18494897257943735</v>
      </c>
      <c r="AD63">
        <v>0.25421626487272875</v>
      </c>
      <c r="AE63">
        <v>0.24571201445394633</v>
      </c>
      <c r="AF63">
        <v>0.25477701533327352</v>
      </c>
    </row>
    <row r="64" spans="2:41" x14ac:dyDescent="0.25">
      <c r="Z64" t="s">
        <v>78</v>
      </c>
      <c r="AA64">
        <v>1.9312920674781707E-2</v>
      </c>
      <c r="AB64">
        <v>1.8681471368273906E-2</v>
      </c>
      <c r="AC64">
        <v>1.8463112548271116E-2</v>
      </c>
      <c r="AD64">
        <v>2.1159285762841706E-2</v>
      </c>
      <c r="AE64">
        <v>2.1159285762841706E-2</v>
      </c>
      <c r="AF64">
        <v>2.1159285762841706E-2</v>
      </c>
    </row>
    <row r="65" spans="26:32" x14ac:dyDescent="0.25">
      <c r="Z65" t="s">
        <v>47</v>
      </c>
      <c r="AA65">
        <v>4.0827289980469951E-2</v>
      </c>
      <c r="AB65">
        <v>3.9722324900943122E-2</v>
      </c>
      <c r="AC65">
        <v>3.8568034705137269E-2</v>
      </c>
      <c r="AD65">
        <v>4.1322365478161392E-2</v>
      </c>
      <c r="AE65">
        <v>4.2034094280155601E-2</v>
      </c>
      <c r="AF65">
        <v>4.3799332024195968E-2</v>
      </c>
    </row>
    <row r="66" spans="26:32" x14ac:dyDescent="0.25">
      <c r="Z66" t="s">
        <v>82</v>
      </c>
      <c r="AA66">
        <v>3.2972423620333258E-2</v>
      </c>
      <c r="AB66">
        <v>3.3002283509679833E-2</v>
      </c>
      <c r="AC66">
        <v>3.2836990844779791E-2</v>
      </c>
      <c r="AD66">
        <v>5.4833255480572003E-2</v>
      </c>
      <c r="AE66">
        <v>6.1144011581762997E-2</v>
      </c>
      <c r="AF66">
        <v>5.0472725149523119E-2</v>
      </c>
    </row>
    <row r="67" spans="26:32" x14ac:dyDescent="0.25">
      <c r="Z67" t="s">
        <v>43</v>
      </c>
      <c r="AA67">
        <v>4.5601395033982843</v>
      </c>
      <c r="AB67">
        <v>4.3457423947406326</v>
      </c>
      <c r="AC67">
        <v>3.9727921748517558</v>
      </c>
      <c r="AD67">
        <v>6.0930436887565804</v>
      </c>
      <c r="AE67">
        <v>6.0930436887565804</v>
      </c>
      <c r="AF67">
        <v>6.0930436887565804</v>
      </c>
    </row>
    <row r="68" spans="26:32" x14ac:dyDescent="0.25">
      <c r="Z68" t="s">
        <v>49</v>
      </c>
      <c r="AA68">
        <v>0.23580012929031105</v>
      </c>
      <c r="AB68">
        <v>0.29825788466376335</v>
      </c>
      <c r="AC68">
        <v>0.20928644715774136</v>
      </c>
      <c r="AD68">
        <v>0.35595941449420232</v>
      </c>
      <c r="AE68">
        <v>0.42557992591046995</v>
      </c>
      <c r="AF68">
        <v>0.35595941449420232</v>
      </c>
    </row>
    <row r="69" spans="26:32" x14ac:dyDescent="0.25">
      <c r="Z69" t="s">
        <v>61</v>
      </c>
      <c r="AA69">
        <v>0.20713819421682308</v>
      </c>
      <c r="AB69">
        <v>0.19366382435036261</v>
      </c>
      <c r="AC69">
        <v>0.18349736850531034</v>
      </c>
      <c r="AD69">
        <v>0.26709044318184333</v>
      </c>
      <c r="AE69">
        <v>0.26709044318184333</v>
      </c>
      <c r="AF69">
        <v>0.28370722086322214</v>
      </c>
    </row>
    <row r="70" spans="26:32" x14ac:dyDescent="0.25">
      <c r="Z70" t="s">
        <v>41</v>
      </c>
      <c r="AA70">
        <v>0.12071603686470908</v>
      </c>
      <c r="AB70">
        <v>0.19316536428334599</v>
      </c>
      <c r="AC70">
        <v>0.21874718341829028</v>
      </c>
      <c r="AD70">
        <v>0.20850940613121732</v>
      </c>
      <c r="AE70">
        <v>0.22883899576013347</v>
      </c>
      <c r="AF70">
        <v>0.22459829594300312</v>
      </c>
    </row>
    <row r="71" spans="26:32" x14ac:dyDescent="0.25">
      <c r="Z71" t="s">
        <v>51</v>
      </c>
      <c r="AA71">
        <v>0.20589840778821858</v>
      </c>
      <c r="AB71">
        <v>0.20998471187037479</v>
      </c>
      <c r="AC71">
        <v>0.19841849830213296</v>
      </c>
      <c r="AD71">
        <v>0.22853517207550472</v>
      </c>
      <c r="AE71">
        <v>0.2677506215339609</v>
      </c>
      <c r="AF71">
        <v>0.28164722279511234</v>
      </c>
    </row>
    <row r="72" spans="26:32" x14ac:dyDescent="0.25">
      <c r="Z72" t="s">
        <v>57</v>
      </c>
      <c r="AA72">
        <v>0.17647662278911019</v>
      </c>
      <c r="AB72">
        <v>0.18269741905717238</v>
      </c>
      <c r="AC72">
        <v>0.19466362701559023</v>
      </c>
      <c r="AD72">
        <v>0.27614062187772248</v>
      </c>
      <c r="AE72">
        <v>0.28916631321383179</v>
      </c>
      <c r="AF72">
        <v>0.21823461158953442</v>
      </c>
    </row>
    <row r="73" spans="26:32" x14ac:dyDescent="0.25">
      <c r="Z73" t="s">
        <v>59</v>
      </c>
      <c r="AA73">
        <v>1.2508137745679288E-2</v>
      </c>
      <c r="AB73">
        <v>1.4044568320673226E-2</v>
      </c>
      <c r="AC73">
        <v>1.5702804906150794E-2</v>
      </c>
      <c r="AD73">
        <v>1.9231006353906555E-2</v>
      </c>
      <c r="AE73">
        <v>1.9581058627754461E-2</v>
      </c>
      <c r="AF73">
        <v>1.9761351006496827E-2</v>
      </c>
    </row>
    <row r="74" spans="26:32" x14ac:dyDescent="0.25">
      <c r="Z74" t="s">
        <v>55</v>
      </c>
      <c r="AA74">
        <v>7.9076069728771931E-2</v>
      </c>
      <c r="AB74">
        <v>6.6736053342229179E-2</v>
      </c>
      <c r="AC74">
        <v>6.0476342350257679E-2</v>
      </c>
      <c r="AD74">
        <v>0.1522740157198838</v>
      </c>
      <c r="AE74">
        <v>0.1522740157198838</v>
      </c>
      <c r="AF74">
        <v>0.1522740157198838</v>
      </c>
    </row>
    <row r="75" spans="26:32" x14ac:dyDescent="0.25">
      <c r="Z75" t="s">
        <v>63</v>
      </c>
      <c r="AA75">
        <v>0.12992469555175951</v>
      </c>
      <c r="AB75">
        <v>0.13902290121212957</v>
      </c>
      <c r="AC75">
        <v>0.14514786030805954</v>
      </c>
      <c r="AD75">
        <v>0.13796880215478302</v>
      </c>
      <c r="AE75">
        <v>0.15299899253866681</v>
      </c>
      <c r="AF75">
        <v>0.15609647773694704</v>
      </c>
    </row>
    <row r="76" spans="26:32" x14ac:dyDescent="0.25">
      <c r="Z76" t="s">
        <v>65</v>
      </c>
      <c r="AA76">
        <v>8.579402722551345E-3</v>
      </c>
      <c r="AB76">
        <v>9.4455602599341076E-3</v>
      </c>
      <c r="AC76">
        <v>9.6355113904156055E-3</v>
      </c>
      <c r="AD76">
        <v>9.3239951619226817E-3</v>
      </c>
      <c r="AE76">
        <v>1.1268102155960174E-2</v>
      </c>
      <c r="AF76">
        <v>1.167999378811538E-2</v>
      </c>
    </row>
    <row r="77" spans="26:32" x14ac:dyDescent="0.25">
      <c r="Z77" t="s">
        <v>68</v>
      </c>
      <c r="AA77">
        <v>0.14198145060494968</v>
      </c>
      <c r="AB77">
        <v>0.14095361828551792</v>
      </c>
      <c r="AC77">
        <v>0.14326328028965971</v>
      </c>
      <c r="AD77">
        <v>0.16320939897299178</v>
      </c>
      <c r="AE77">
        <v>0.19861264423721561</v>
      </c>
      <c r="AF77">
        <v>0.21306064626167531</v>
      </c>
    </row>
    <row r="78" spans="26:32" x14ac:dyDescent="0.25">
      <c r="Z78" t="s">
        <v>70</v>
      </c>
      <c r="AA78">
        <v>0.33528752386320965</v>
      </c>
      <c r="AB78">
        <v>0.36984685359535813</v>
      </c>
      <c r="AC78">
        <v>0.37518792663740924</v>
      </c>
      <c r="AD78">
        <v>0.39772071617327581</v>
      </c>
      <c r="AE78">
        <v>0.44739580733767259</v>
      </c>
      <c r="AF78">
        <v>0.46231166423907699</v>
      </c>
    </row>
    <row r="79" spans="26:32" x14ac:dyDescent="0.25">
      <c r="Z79" t="s">
        <v>72</v>
      </c>
      <c r="AA79">
        <v>0.42125825160748065</v>
      </c>
      <c r="AB79">
        <v>0.46010679278043165</v>
      </c>
      <c r="AC79">
        <v>0.63899869234289042</v>
      </c>
      <c r="AD79">
        <v>0.45678107656508615</v>
      </c>
      <c r="AE79">
        <v>0.60903777582242768</v>
      </c>
      <c r="AF79">
        <v>0.7790121955776742</v>
      </c>
    </row>
    <row r="80" spans="26:32" x14ac:dyDescent="0.25">
      <c r="Z80" t="s">
        <v>80</v>
      </c>
      <c r="AA80">
        <v>7.7057333442909475E-3</v>
      </c>
      <c r="AB80">
        <v>8.5511917029125056E-3</v>
      </c>
      <c r="AC80">
        <v>9.7325793615291797E-3</v>
      </c>
      <c r="AD80">
        <v>9.794247163881116E-3</v>
      </c>
      <c r="AE80">
        <v>1.2773483717044783E-2</v>
      </c>
      <c r="AF80">
        <v>1.3185671305295304E-2</v>
      </c>
    </row>
    <row r="81" spans="25:32" x14ac:dyDescent="0.25">
      <c r="Z81" t="s">
        <v>74</v>
      </c>
      <c r="AA81">
        <v>0.11326680970123913</v>
      </c>
      <c r="AB81">
        <v>0.10931210753604537</v>
      </c>
      <c r="AC81">
        <v>0.10554903387990128</v>
      </c>
      <c r="AD81">
        <v>0.14100813845288798</v>
      </c>
      <c r="AE81">
        <v>0.16896877260911483</v>
      </c>
      <c r="AF81">
        <v>0.18368835324127436</v>
      </c>
    </row>
    <row r="82" spans="25:32" x14ac:dyDescent="0.25">
      <c r="Z82" t="s">
        <v>76</v>
      </c>
      <c r="AA82">
        <v>8.8006343482863333E-2</v>
      </c>
      <c r="AB82">
        <v>8.0089954589852894E-2</v>
      </c>
      <c r="AC82">
        <v>8.7542561801390237E-2</v>
      </c>
      <c r="AD82">
        <v>0.19388205739444997</v>
      </c>
      <c r="AE82">
        <v>0.20341200967865999</v>
      </c>
      <c r="AF82">
        <v>0.21529386911629381</v>
      </c>
    </row>
    <row r="85" spans="25:32" x14ac:dyDescent="0.25">
      <c r="Y85" t="s">
        <v>153</v>
      </c>
      <c r="Z85" s="242" t="str">
        <f>VLOOKUP(Sovereign!$C$9,Lists!$F$4:$G$31,2,FALSE)</f>
        <v>DK</v>
      </c>
      <c r="AA85" s="243">
        <f>INDEX($AA$55:$AF$82,MATCH($Z$85,$Z$55:$Z$82,0),E59)/100</f>
        <v>1.0025928928291127E-4</v>
      </c>
      <c r="AB85" s="244">
        <f t="shared" ref="AB85:AF85" si="4">INDEX($AA$55:$AF$82,MATCH($Z$85,$Z$55:$Z$82,0),F59)/100</f>
        <v>1.4760096923562428E-4</v>
      </c>
      <c r="AC85" s="244">
        <f t="shared" si="4"/>
        <v>1.5895234326395482E-4</v>
      </c>
      <c r="AD85" s="244">
        <f t="shared" si="4"/>
        <v>1.8136462317671067E-4</v>
      </c>
      <c r="AE85" s="244">
        <f t="shared" si="4"/>
        <v>1.7996587217477162E-4</v>
      </c>
      <c r="AF85" s="245">
        <f t="shared" si="4"/>
        <v>1.8925654015125337E-4</v>
      </c>
    </row>
  </sheetData>
  <sortState ref="B3:B30">
    <sortCondition ref="B3:B30"/>
  </sortState>
  <mergeCells count="27">
    <mergeCell ref="AA53:AC53"/>
    <mergeCell ref="AD53:AF53"/>
    <mergeCell ref="Z53:Z54"/>
    <mergeCell ref="AJ4:AO4"/>
    <mergeCell ref="AJ5:AL5"/>
    <mergeCell ref="AM5:AO5"/>
    <mergeCell ref="X4:AC4"/>
    <mergeCell ref="X5:Z5"/>
    <mergeCell ref="AA5:AC5"/>
    <mergeCell ref="AD4:AI4"/>
    <mergeCell ref="AD5:AF5"/>
    <mergeCell ref="AG5:AI5"/>
    <mergeCell ref="E53:J53"/>
    <mergeCell ref="E54:G54"/>
    <mergeCell ref="H54:J54"/>
    <mergeCell ref="L53:Q53"/>
    <mergeCell ref="R53:W53"/>
    <mergeCell ref="L54:N54"/>
    <mergeCell ref="O54:Q54"/>
    <mergeCell ref="R54:T54"/>
    <mergeCell ref="U54:W54"/>
    <mergeCell ref="L5:N5"/>
    <mergeCell ref="O5:Q5"/>
    <mergeCell ref="L4:Q4"/>
    <mergeCell ref="R4:W4"/>
    <mergeCell ref="R5:T5"/>
    <mergeCell ref="U5:W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17"/>
  <sheetViews>
    <sheetView zoomScale="70" zoomScaleNormal="70" workbookViewId="0"/>
  </sheetViews>
  <sheetFormatPr defaultRowHeight="15" x14ac:dyDescent="0.25"/>
  <cols>
    <col min="2" max="23" width="10" customWidth="1"/>
  </cols>
  <sheetData>
    <row r="2" spans="2:25" x14ac:dyDescent="0.25">
      <c r="B2" s="195" t="s">
        <v>255</v>
      </c>
      <c r="C2" s="191"/>
      <c r="D2" s="416" t="s">
        <v>8</v>
      </c>
      <c r="E2" s="416"/>
      <c r="F2" s="416"/>
      <c r="G2" s="191"/>
      <c r="I2" s="194" t="str">
        <f>'Processor PDs'!C55</f>
        <v>DK</v>
      </c>
      <c r="L2" t="s">
        <v>248</v>
      </c>
      <c r="S2" t="s">
        <v>249</v>
      </c>
      <c r="Y2" t="s">
        <v>306</v>
      </c>
    </row>
    <row r="3" spans="2:25" x14ac:dyDescent="0.25">
      <c r="B3" s="191"/>
      <c r="C3" s="191"/>
      <c r="D3" s="99" t="s">
        <v>5</v>
      </c>
      <c r="E3" s="99" t="s">
        <v>6</v>
      </c>
      <c r="F3" s="99" t="s">
        <v>7</v>
      </c>
      <c r="G3" s="99" t="s">
        <v>156</v>
      </c>
      <c r="I3" s="194" t="str">
        <f>'Processor LGD1-3'!B6</f>
        <v>NFC-RE</v>
      </c>
    </row>
    <row r="4" spans="2:25" x14ac:dyDescent="0.25">
      <c r="B4" s="416" t="s">
        <v>9</v>
      </c>
      <c r="C4" s="99" t="s">
        <v>5</v>
      </c>
      <c r="D4" s="198">
        <f t="array" ref="D4:F6">'CR Path Generator'!G51:I53</f>
        <v>0.9845766139586879</v>
      </c>
      <c r="E4" s="199">
        <v>1.468080839483224E-2</v>
      </c>
      <c r="F4" s="200">
        <v>7.4257764647988396E-4</v>
      </c>
      <c r="G4" s="201">
        <f>SUM(D4:F4)</f>
        <v>1</v>
      </c>
      <c r="K4" s="11"/>
      <c r="L4" s="11" t="s">
        <v>250</v>
      </c>
      <c r="M4" s="11" t="s">
        <v>24</v>
      </c>
      <c r="N4" s="11" t="s">
        <v>118</v>
      </c>
      <c r="O4" s="11" t="s">
        <v>119</v>
      </c>
      <c r="P4" s="11" t="s">
        <v>120</v>
      </c>
      <c r="R4" s="11"/>
      <c r="S4" s="11" t="s">
        <v>250</v>
      </c>
      <c r="T4" s="11" t="s">
        <v>24</v>
      </c>
      <c r="U4" s="11" t="s">
        <v>118</v>
      </c>
      <c r="V4" s="11" t="s">
        <v>119</v>
      </c>
      <c r="W4" s="11" t="s">
        <v>120</v>
      </c>
      <c r="Y4" t="s">
        <v>307</v>
      </c>
    </row>
    <row r="5" spans="2:25" x14ac:dyDescent="0.25">
      <c r="B5" s="416"/>
      <c r="C5" s="99" t="s">
        <v>6</v>
      </c>
      <c r="D5" s="202">
        <v>0.31078438220297544</v>
      </c>
      <c r="E5" s="203">
        <v>0.63003771739889647</v>
      </c>
      <c r="F5" s="204">
        <v>5.9177900398128098E-2</v>
      </c>
      <c r="G5" s="205">
        <f>SUM(D5:F5)</f>
        <v>1</v>
      </c>
      <c r="I5" s="2" t="s">
        <v>256</v>
      </c>
      <c r="K5" t="s">
        <v>67</v>
      </c>
      <c r="L5">
        <v>0.13934686270077554</v>
      </c>
      <c r="M5">
        <v>0.46786636464833659</v>
      </c>
      <c r="N5">
        <v>0.50368950864036843</v>
      </c>
      <c r="O5">
        <v>0.60976038871676597</v>
      </c>
      <c r="P5">
        <v>0.7551406174895734</v>
      </c>
      <c r="R5" t="s">
        <v>67</v>
      </c>
      <c r="S5">
        <v>-0.11301501478474796</v>
      </c>
      <c r="T5">
        <v>-1.0014771284506303</v>
      </c>
      <c r="U5">
        <v>-0.57829788313746888</v>
      </c>
      <c r="V5">
        <v>-0.57995739207100061</v>
      </c>
      <c r="W5">
        <v>-0.27441685314043868</v>
      </c>
      <c r="Y5" t="s">
        <v>308</v>
      </c>
    </row>
    <row r="6" spans="2:25" x14ac:dyDescent="0.25">
      <c r="B6" s="416"/>
      <c r="C6" s="99" t="s">
        <v>7</v>
      </c>
      <c r="D6" s="206">
        <v>0.02</v>
      </c>
      <c r="E6" s="207">
        <v>0.03</v>
      </c>
      <c r="F6" s="208">
        <v>0.95</v>
      </c>
      <c r="G6" s="209">
        <f>SUM(D6:F6)</f>
        <v>1</v>
      </c>
      <c r="I6">
        <f>INDEX($L$5:$P$48,MATCH($I$2,$K$5:$K$48,0),MATCH($I$3,$L$4:$P$4,0))</f>
        <v>0.29214726674915847</v>
      </c>
      <c r="K6" t="s">
        <v>29</v>
      </c>
      <c r="L6">
        <v>0.55402504873183411</v>
      </c>
      <c r="M6">
        <v>0.46786636464833659</v>
      </c>
      <c r="N6">
        <v>0.50368950864036843</v>
      </c>
      <c r="O6">
        <v>1.3743736955537198</v>
      </c>
      <c r="P6">
        <v>0.3925647983096921</v>
      </c>
      <c r="R6" t="s">
        <v>29</v>
      </c>
      <c r="S6">
        <v>-0.58824914435183706</v>
      </c>
      <c r="T6">
        <v>-0.62289567112273891</v>
      </c>
      <c r="U6">
        <v>-0.78588762314298521</v>
      </c>
      <c r="V6">
        <v>-0.67564454509868999</v>
      </c>
      <c r="W6">
        <v>-0.23214617097312573</v>
      </c>
    </row>
    <row r="7" spans="2:25" x14ac:dyDescent="0.25">
      <c r="I7" s="2" t="s">
        <v>257</v>
      </c>
      <c r="K7" t="s">
        <v>31</v>
      </c>
      <c r="L7">
        <v>0.55402504873183411</v>
      </c>
      <c r="M7">
        <v>0.46786636464833659</v>
      </c>
      <c r="N7">
        <v>0.50368950864036843</v>
      </c>
      <c r="O7">
        <v>0.60976038871676597</v>
      </c>
      <c r="P7">
        <v>0.3925647983096921</v>
      </c>
      <c r="R7" t="s">
        <v>31</v>
      </c>
      <c r="S7">
        <v>-0.58824914435183706</v>
      </c>
      <c r="T7">
        <v>-0.62289567112273891</v>
      </c>
      <c r="U7">
        <v>-0.67286772753366175</v>
      </c>
      <c r="V7">
        <v>-0.67564454509868999</v>
      </c>
      <c r="W7">
        <v>-0.23214617097312573</v>
      </c>
      <c r="Y7" t="s">
        <v>309</v>
      </c>
    </row>
    <row r="8" spans="2:25" x14ac:dyDescent="0.25">
      <c r="E8" s="417" t="s">
        <v>253</v>
      </c>
      <c r="F8" s="417"/>
      <c r="G8" s="417" t="s">
        <v>254</v>
      </c>
      <c r="H8" s="417"/>
      <c r="I8">
        <f>INDEX($S$5:$W$48,MATCH($I$2,$R$5:$R$48,0),MATCH($I$3,$S$4:$W$4,0))</f>
        <v>-0.55572133157143633</v>
      </c>
      <c r="K8" t="s">
        <v>53</v>
      </c>
      <c r="L8">
        <v>0.55402504873183411</v>
      </c>
      <c r="M8">
        <v>0.46786636464833659</v>
      </c>
      <c r="N8">
        <v>0.76857952561616993</v>
      </c>
      <c r="O8">
        <v>0.41491136981550492</v>
      </c>
      <c r="P8">
        <v>0.3925647983096921</v>
      </c>
      <c r="R8" t="s">
        <v>53</v>
      </c>
      <c r="S8">
        <v>-0.95318286900250393</v>
      </c>
      <c r="T8">
        <v>-1.0171069185401607</v>
      </c>
      <c r="U8">
        <v>-1.0434014055422027</v>
      </c>
      <c r="V8">
        <v>-0.77435772187514718</v>
      </c>
      <c r="W8">
        <v>-0.23214617097312573</v>
      </c>
      <c r="Y8" t="s">
        <v>310</v>
      </c>
    </row>
    <row r="9" spans="2:25" x14ac:dyDescent="0.25">
      <c r="B9" s="195" t="s">
        <v>253</v>
      </c>
      <c r="D9" s="11"/>
      <c r="E9" s="11" t="s">
        <v>142</v>
      </c>
      <c r="F9" s="11" t="s">
        <v>1</v>
      </c>
      <c r="G9" s="11" t="s">
        <v>142</v>
      </c>
      <c r="H9" s="11" t="s">
        <v>1</v>
      </c>
      <c r="K9" t="s">
        <v>33</v>
      </c>
      <c r="L9">
        <v>0.10435118006035071</v>
      </c>
      <c r="M9">
        <v>0.46786636464833659</v>
      </c>
      <c r="N9">
        <v>0.50368950864036843</v>
      </c>
      <c r="O9">
        <v>0.39290726101818457</v>
      </c>
      <c r="P9">
        <v>0.3925647983096921</v>
      </c>
      <c r="R9" t="s">
        <v>33</v>
      </c>
      <c r="S9">
        <v>-1.0018253252145164</v>
      </c>
      <c r="T9">
        <v>-0.62289567112273891</v>
      </c>
      <c r="U9">
        <v>-0.67286772753366175</v>
      </c>
      <c r="V9">
        <v>-0.64783661808123161</v>
      </c>
      <c r="W9">
        <v>-0.23214617097312573</v>
      </c>
    </row>
    <row r="10" spans="2:25" x14ac:dyDescent="0.25">
      <c r="D10" s="11" t="s">
        <v>177</v>
      </c>
      <c r="E10" s="226">
        <f>'CR Path Generator'!$C$17</f>
        <v>1.4999999999999999E-2</v>
      </c>
      <c r="F10" s="226">
        <f>'CR Path Generator'!$C$17</f>
        <v>1.4999999999999999E-2</v>
      </c>
      <c r="G10" s="11"/>
      <c r="H10" s="11"/>
      <c r="K10" t="s">
        <v>37</v>
      </c>
      <c r="L10">
        <v>0.42200240430726871</v>
      </c>
      <c r="M10">
        <v>0.46786636464833659</v>
      </c>
      <c r="N10">
        <v>0.50368950864036843</v>
      </c>
      <c r="O10">
        <v>0.60976038871676597</v>
      </c>
      <c r="P10">
        <v>0.15222443614013695</v>
      </c>
      <c r="R10" t="s">
        <v>37</v>
      </c>
      <c r="S10">
        <v>-0.58824914435183706</v>
      </c>
      <c r="T10">
        <v>-0.62289567112273891</v>
      </c>
      <c r="U10">
        <v>-0.67286772753366175</v>
      </c>
      <c r="V10">
        <v>-0.67564454509868999</v>
      </c>
      <c r="W10">
        <v>-0.23214617097312573</v>
      </c>
      <c r="Y10" t="s">
        <v>311</v>
      </c>
    </row>
    <row r="11" spans="2:25" x14ac:dyDescent="0.25">
      <c r="D11" t="s">
        <v>11</v>
      </c>
      <c r="E11" s="227">
        <f t="array" ref="E11:E13">TRANSPOSE('CR Path Generator'!D17:F17)</f>
        <v>1.479716759249332E-2</v>
      </c>
      <c r="F11" s="227">
        <f t="array" ref="F11:F13">TRANSPOSE('CR Path Generator'!G17:I17)</f>
        <v>3.9172428438579467E-2</v>
      </c>
      <c r="G11" s="212">
        <f>_xlfn.NORM.S.INV(E11)-_xlfn.NORM.S.INV(E$10)</f>
        <v>-5.387352549293567E-3</v>
      </c>
      <c r="H11" s="212">
        <f t="shared" ref="H11:H13" si="0">_xlfn.NORM.S.INV(F11)-_xlfn.NORM.S.INV(F$10)</f>
        <v>0.40971898705791898</v>
      </c>
      <c r="K11" t="s">
        <v>35</v>
      </c>
      <c r="L11">
        <v>2.4369960252783529</v>
      </c>
      <c r="M11">
        <v>0.29214726674915847</v>
      </c>
      <c r="N11">
        <v>0.50368950864036843</v>
      </c>
      <c r="O11">
        <v>1.0094514578014375</v>
      </c>
      <c r="P11">
        <v>0.3925647983096921</v>
      </c>
      <c r="R11" t="s">
        <v>35</v>
      </c>
      <c r="S11">
        <v>-0.83962696635550227</v>
      </c>
      <c r="T11">
        <v>-0.55572133157143633</v>
      </c>
      <c r="U11">
        <v>-0.67286772753366175</v>
      </c>
      <c r="V11">
        <v>-0.67564454509868999</v>
      </c>
      <c r="W11">
        <v>-0.23214617097312573</v>
      </c>
      <c r="Y11" t="s">
        <v>312</v>
      </c>
    </row>
    <row r="12" spans="2:25" x14ac:dyDescent="0.25">
      <c r="D12" t="s">
        <v>12</v>
      </c>
      <c r="E12" s="227">
        <v>1.5101182090084996E-2</v>
      </c>
      <c r="F12" s="227">
        <v>5.1239941022748502E-2</v>
      </c>
      <c r="G12" s="212">
        <f t="shared" ref="G12:G13" si="1">_xlfn.NORM.S.INV(E12)-_xlfn.NORM.S.INV(E$10)</f>
        <v>2.6640840003415711E-3</v>
      </c>
      <c r="H12" s="212">
        <f t="shared" si="0"/>
        <v>0.53714213221536644</v>
      </c>
      <c r="K12" t="s">
        <v>39</v>
      </c>
      <c r="L12">
        <v>0.51082213668192056</v>
      </c>
      <c r="M12">
        <v>0.46786636464833659</v>
      </c>
      <c r="N12">
        <v>0.30354229616763256</v>
      </c>
      <c r="O12">
        <v>0.27775628709065225</v>
      </c>
      <c r="P12">
        <v>0.3925647983096921</v>
      </c>
      <c r="R12" t="s">
        <v>39</v>
      </c>
      <c r="S12">
        <v>-0.26797846534736725</v>
      </c>
      <c r="T12">
        <v>-0.24243672386784326</v>
      </c>
      <c r="U12">
        <v>-0.19262638547045255</v>
      </c>
      <c r="V12">
        <v>-0.54708809623682608</v>
      </c>
      <c r="W12">
        <v>-0.23214617097312573</v>
      </c>
      <c r="Y12" t="s">
        <v>313</v>
      </c>
    </row>
    <row r="13" spans="2:25" x14ac:dyDescent="0.25">
      <c r="D13" t="s">
        <v>13</v>
      </c>
      <c r="E13" s="227">
        <v>1.5198524842489326E-2</v>
      </c>
      <c r="F13" s="227">
        <v>5.5381862190373672E-2</v>
      </c>
      <c r="G13" s="212">
        <f t="shared" si="1"/>
        <v>5.2126422578231413E-3</v>
      </c>
      <c r="H13" s="212">
        <f t="shared" si="0"/>
        <v>0.57532058497629279</v>
      </c>
      <c r="K13" t="s">
        <v>45</v>
      </c>
      <c r="L13">
        <v>0.24669904086194289</v>
      </c>
      <c r="M13">
        <v>0.27912545475820538</v>
      </c>
      <c r="N13">
        <v>0.97507039693907294</v>
      </c>
      <c r="O13">
        <v>0.40980982039408687</v>
      </c>
      <c r="P13">
        <v>0.3925647983096921</v>
      </c>
      <c r="R13" t="s">
        <v>45</v>
      </c>
      <c r="S13">
        <v>-0.47524692754847842</v>
      </c>
      <c r="T13">
        <v>-0.78314389787039462</v>
      </c>
      <c r="U13">
        <v>-1.2510573330980339</v>
      </c>
      <c r="V13">
        <v>-0.8899674790981057</v>
      </c>
      <c r="W13">
        <v>-0.24812739159057698</v>
      </c>
      <c r="Y13" t="s">
        <v>314</v>
      </c>
    </row>
    <row r="14" spans="2:25" x14ac:dyDescent="0.25">
      <c r="K14" t="s">
        <v>78</v>
      </c>
      <c r="L14">
        <v>0.36967003024675865</v>
      </c>
      <c r="M14">
        <v>0.46786636464833659</v>
      </c>
      <c r="N14">
        <v>0.36411649000934088</v>
      </c>
      <c r="O14">
        <v>0.60976038871676597</v>
      </c>
      <c r="P14">
        <v>0.3925647983096921</v>
      </c>
      <c r="R14" t="s">
        <v>78</v>
      </c>
      <c r="S14">
        <v>-0.58824914435183706</v>
      </c>
      <c r="T14">
        <v>-0.62289567112273891</v>
      </c>
      <c r="U14">
        <v>-0.67286772753366175</v>
      </c>
      <c r="V14">
        <v>-0.67564454509868999</v>
      </c>
      <c r="W14">
        <v>-0.23214617097312573</v>
      </c>
      <c r="Y14" t="s">
        <v>315</v>
      </c>
    </row>
    <row r="15" spans="2:25" x14ac:dyDescent="0.25">
      <c r="B15" s="2" t="s">
        <v>0</v>
      </c>
      <c r="K15" t="s">
        <v>47</v>
      </c>
      <c r="L15">
        <v>0.38613745405835626</v>
      </c>
      <c r="M15">
        <v>0.41187529725165251</v>
      </c>
      <c r="N15">
        <v>0.36410431893055228</v>
      </c>
      <c r="O15">
        <v>0.86546594789724252</v>
      </c>
      <c r="P15">
        <v>0.3925647983096921</v>
      </c>
      <c r="R15" t="s">
        <v>47</v>
      </c>
      <c r="S15">
        <v>-0.41413433892548057</v>
      </c>
      <c r="T15">
        <v>-0.67815163812125756</v>
      </c>
      <c r="U15">
        <v>-0.81306095390000599</v>
      </c>
      <c r="V15">
        <v>-0.89186832922328729</v>
      </c>
      <c r="W15">
        <v>-0.23214617097312573</v>
      </c>
      <c r="Y15" t="s">
        <v>316</v>
      </c>
    </row>
    <row r="16" spans="2:25" x14ac:dyDescent="0.25">
      <c r="K16" t="s">
        <v>82</v>
      </c>
      <c r="L16">
        <v>0.55402504873183411</v>
      </c>
      <c r="M16">
        <v>0.46786636464833659</v>
      </c>
      <c r="N16">
        <v>0.50368950864036843</v>
      </c>
      <c r="O16">
        <v>0.60976038871676597</v>
      </c>
      <c r="P16">
        <v>0.31798936736893946</v>
      </c>
      <c r="R16" t="s">
        <v>82</v>
      </c>
      <c r="S16">
        <v>-0.58824914435183706</v>
      </c>
      <c r="T16">
        <v>-0.62289567112273891</v>
      </c>
      <c r="U16">
        <v>-0.67286772753366175</v>
      </c>
      <c r="V16">
        <v>-0.67564454509868999</v>
      </c>
      <c r="W16">
        <v>-0.23214617097312573</v>
      </c>
      <c r="Y16" t="s">
        <v>317</v>
      </c>
    </row>
    <row r="17" spans="2:25" x14ac:dyDescent="0.25">
      <c r="B17" s="9"/>
      <c r="C17" s="406" t="s">
        <v>5</v>
      </c>
      <c r="D17" s="406"/>
      <c r="E17" s="407"/>
      <c r="F17" s="405" t="s">
        <v>6</v>
      </c>
      <c r="G17" s="406"/>
      <c r="H17" s="407"/>
      <c r="K17" t="s">
        <v>43</v>
      </c>
      <c r="L17">
        <v>0.55402504873183411</v>
      </c>
      <c r="M17">
        <v>0.46786636464833659</v>
      </c>
      <c r="N17">
        <v>0.43704473307306091</v>
      </c>
      <c r="O17">
        <v>1.2808972969357677</v>
      </c>
      <c r="P17">
        <v>0.3925647983096921</v>
      </c>
      <c r="R17" t="s">
        <v>43</v>
      </c>
      <c r="S17">
        <v>-0.81650018330906948</v>
      </c>
      <c r="T17">
        <v>-0.62289567112273891</v>
      </c>
      <c r="U17">
        <v>-0.67286772753366175</v>
      </c>
      <c r="V17">
        <v>-0.45922018670966203</v>
      </c>
      <c r="W17">
        <v>-7.618815282053637E-2</v>
      </c>
      <c r="Y17" t="s">
        <v>318</v>
      </c>
    </row>
    <row r="18" spans="2:25" x14ac:dyDescent="0.25">
      <c r="B18" s="12"/>
      <c r="C18" s="14" t="s">
        <v>5</v>
      </c>
      <c r="D18" s="14" t="s">
        <v>6</v>
      </c>
      <c r="E18" s="15" t="s">
        <v>7</v>
      </c>
      <c r="F18" s="13" t="s">
        <v>5</v>
      </c>
      <c r="G18" s="14" t="s">
        <v>6</v>
      </c>
      <c r="H18" s="15" t="s">
        <v>7</v>
      </c>
      <c r="K18" t="s">
        <v>49</v>
      </c>
      <c r="L18">
        <v>0.55402504873183411</v>
      </c>
      <c r="M18">
        <v>0.46786636464833659</v>
      </c>
      <c r="N18">
        <v>0.50368950864036843</v>
      </c>
      <c r="O18">
        <v>0.60976038871676597</v>
      </c>
      <c r="P18">
        <v>0.3925647983096921</v>
      </c>
      <c r="R18" t="s">
        <v>49</v>
      </c>
      <c r="S18">
        <v>-0.58824914435183706</v>
      </c>
      <c r="T18">
        <v>-0.62289567112273891</v>
      </c>
      <c r="U18">
        <v>-0.67286772753366175</v>
      </c>
      <c r="V18">
        <v>-0.67564454509868999</v>
      </c>
      <c r="W18">
        <v>-0.23214617097312573</v>
      </c>
      <c r="Y18" t="s">
        <v>319</v>
      </c>
    </row>
    <row r="19" spans="2:25" x14ac:dyDescent="0.25">
      <c r="B19" s="23" t="s">
        <v>177</v>
      </c>
      <c r="C19" s="213">
        <f t="array" ref="C19:E19">D4:F4</f>
        <v>0.9845766139586879</v>
      </c>
      <c r="D19" s="213">
        <v>1.468080839483224E-2</v>
      </c>
      <c r="E19" s="217">
        <v>7.4257764647988396E-4</v>
      </c>
      <c r="F19" s="224">
        <f t="array" ref="F19:H19">D5:F5</f>
        <v>0.31078438220297544</v>
      </c>
      <c r="G19" s="213">
        <v>0.63003771739889647</v>
      </c>
      <c r="H19" s="217">
        <v>5.9177900398128098E-2</v>
      </c>
      <c r="K19" t="s">
        <v>61</v>
      </c>
      <c r="L19">
        <v>0.55402504873183411</v>
      </c>
      <c r="M19">
        <v>0.46786636464833659</v>
      </c>
      <c r="N19">
        <v>0.50368950864036843</v>
      </c>
      <c r="O19">
        <v>0.60976038871676597</v>
      </c>
      <c r="P19">
        <v>0.3925647983096921</v>
      </c>
      <c r="R19" t="s">
        <v>61</v>
      </c>
      <c r="S19">
        <v>-0.58824914435183706</v>
      </c>
      <c r="T19">
        <v>-0.62289567112273891</v>
      </c>
      <c r="U19">
        <v>-0.67286772753366175</v>
      </c>
      <c r="V19">
        <v>-0.67564454509868999</v>
      </c>
      <c r="W19">
        <v>-0.23214617097312573</v>
      </c>
      <c r="Y19" t="s">
        <v>320</v>
      </c>
    </row>
    <row r="20" spans="2:25" x14ac:dyDescent="0.25">
      <c r="B20" s="9" t="s">
        <v>11</v>
      </c>
      <c r="C20" s="18">
        <f>MAX(0,1-SUM(D20:E20))</f>
        <v>0.98464870449225594</v>
      </c>
      <c r="D20" s="228">
        <f>_xlfn.NORM.S.DIST(_xlfn.NORM.S.INV(D$19)+$I$6*G11,1)</f>
        <v>1.4622396667510217E-2</v>
      </c>
      <c r="E20" s="222">
        <f>_xlfn.NORM.S.DIST(_xlfn.NORM.S.INV(E$19)+G11,1)</f>
        <v>7.2889884023379765E-4</v>
      </c>
      <c r="F20" s="18">
        <f>_xlfn.NORM.S.DIST(_xlfn.NORM.S.INV(F$19)+$I$8*G11,1)</f>
        <v>0.31184254093632119</v>
      </c>
      <c r="G20" s="228">
        <f>MAX(0,1-SUM(F20,H20))</f>
        <v>0.62961174848210988</v>
      </c>
      <c r="H20" s="222">
        <f>_xlfn.NORM.S.DIST(_xlfn.NORM.S.INV(H$19)+G11,1)</f>
        <v>5.8545710581568947E-2</v>
      </c>
      <c r="K20" t="s">
        <v>41</v>
      </c>
      <c r="L20">
        <v>0.75798685349039752</v>
      </c>
      <c r="M20">
        <v>0.66930239020219739</v>
      </c>
      <c r="N20">
        <v>1.0915786605438991</v>
      </c>
      <c r="O20">
        <v>0.60976038871676597</v>
      </c>
      <c r="P20">
        <v>0.3925647983096921</v>
      </c>
      <c r="R20" t="s">
        <v>41</v>
      </c>
      <c r="S20">
        <v>-0.58824914435183706</v>
      </c>
      <c r="T20">
        <v>-0.10734092961693879</v>
      </c>
      <c r="U20">
        <v>-0.67286772753366175</v>
      </c>
      <c r="V20">
        <v>-0.67564454509868999</v>
      </c>
      <c r="W20">
        <v>-0.23214617097312573</v>
      </c>
      <c r="Y20" t="s">
        <v>321</v>
      </c>
    </row>
    <row r="21" spans="2:25" x14ac:dyDescent="0.25">
      <c r="B21" s="9" t="s">
        <v>12</v>
      </c>
      <c r="C21" s="18">
        <f t="shared" ref="C21:C22" si="2">MAX(0,1-SUM(D21:E21))</f>
        <v>0.98454080352925522</v>
      </c>
      <c r="D21" s="18">
        <f t="shared" ref="D21:D22" si="3">_xlfn.NORM.S.DIST(_xlfn.NORM.S.INV(D$19)+$I$6*G12,1)</f>
        <v>1.4709767511719743E-2</v>
      </c>
      <c r="E21" s="222">
        <f t="shared" ref="E21:E22" si="4">_xlfn.NORM.S.DIST(_xlfn.NORM.S.INV(E$19)+G12,1)</f>
        <v>7.4942895902508104E-4</v>
      </c>
      <c r="F21" s="18">
        <f t="shared" ref="F21:F22" si="5">_xlfn.NORM.S.DIST(_xlfn.NORM.S.INV(F$19)+$I$8*G12,1)</f>
        <v>0.31026169220147304</v>
      </c>
      <c r="G21" s="18">
        <f>MAX(0,1-SUM(F21,H21))</f>
        <v>0.63024581296025683</v>
      </c>
      <c r="H21" s="222">
        <f t="shared" ref="H21:H22" si="6">_xlfn.NORM.S.DIST(_xlfn.NORM.S.INV(H$19)+G12,1)</f>
        <v>5.9492494838270175E-2</v>
      </c>
      <c r="K21" t="s">
        <v>51</v>
      </c>
      <c r="L21">
        <v>0.55402504873183411</v>
      </c>
      <c r="M21">
        <v>0.46786636464833659</v>
      </c>
      <c r="N21">
        <v>0.92496920970762431</v>
      </c>
      <c r="O21">
        <v>0.60295481502797876</v>
      </c>
      <c r="P21">
        <v>0.3925647983096921</v>
      </c>
      <c r="R21" t="s">
        <v>51</v>
      </c>
      <c r="S21">
        <v>-0.58824914435183706</v>
      </c>
      <c r="T21">
        <v>-0.62289567112273891</v>
      </c>
      <c r="U21">
        <v>-0.67286772753366175</v>
      </c>
      <c r="V21">
        <v>-0.67564454509868999</v>
      </c>
      <c r="W21">
        <v>-0.32985228634095082</v>
      </c>
      <c r="Y21" t="s">
        <v>322</v>
      </c>
    </row>
    <row r="22" spans="2:25" x14ac:dyDescent="0.25">
      <c r="B22" s="12" t="s">
        <v>13</v>
      </c>
      <c r="C22" s="215">
        <f t="shared" si="2"/>
        <v>0.98450644555255606</v>
      </c>
      <c r="D22" s="215">
        <f t="shared" si="3"/>
        <v>1.4737516818334051E-2</v>
      </c>
      <c r="E22" s="223">
        <f t="shared" si="4"/>
        <v>7.5603762910984049E-4</v>
      </c>
      <c r="F22" s="215">
        <f t="shared" si="5"/>
        <v>0.30976202663740071</v>
      </c>
      <c r="G22" s="215">
        <f>MAX(0,1-SUM(F22,H22))</f>
        <v>0.63044330082247935</v>
      </c>
      <c r="H22" s="223">
        <f t="shared" si="6"/>
        <v>5.9794672540119928E-2</v>
      </c>
      <c r="K22" t="s">
        <v>57</v>
      </c>
      <c r="L22">
        <v>0.27068001482135085</v>
      </c>
      <c r="M22">
        <v>0.25136470733632515</v>
      </c>
      <c r="N22">
        <v>0.17569507655848374</v>
      </c>
      <c r="O22">
        <v>0.28113294627986612</v>
      </c>
      <c r="P22">
        <v>0.3925647983096921</v>
      </c>
      <c r="R22" t="s">
        <v>57</v>
      </c>
      <c r="S22">
        <v>-0.25066757644933202</v>
      </c>
      <c r="T22">
        <v>-0.36704325640952667</v>
      </c>
      <c r="U22">
        <v>-0.29408427994695485</v>
      </c>
      <c r="V22">
        <v>-1.0729181075001359</v>
      </c>
      <c r="W22">
        <v>-0.23214617097312573</v>
      </c>
      <c r="Y22" t="s">
        <v>323</v>
      </c>
    </row>
    <row r="23" spans="2:25" x14ac:dyDescent="0.25">
      <c r="K23" t="s">
        <v>59</v>
      </c>
      <c r="L23">
        <v>0.55402504873183411</v>
      </c>
      <c r="M23">
        <v>0.46786636464833659</v>
      </c>
      <c r="N23">
        <v>0.50368950864036843</v>
      </c>
      <c r="O23">
        <v>0.2816270916466721</v>
      </c>
      <c r="P23">
        <v>0.3925647983096921</v>
      </c>
      <c r="R23" t="s">
        <v>59</v>
      </c>
      <c r="S23">
        <v>-0.30222333296189652</v>
      </c>
      <c r="T23">
        <v>-0.49359090085924462</v>
      </c>
      <c r="U23">
        <v>-0.67286772753366175</v>
      </c>
      <c r="V23">
        <v>-0.67564454509868999</v>
      </c>
      <c r="W23">
        <v>-0.23214617097312573</v>
      </c>
      <c r="Y23" t="s">
        <v>324</v>
      </c>
    </row>
    <row r="24" spans="2:25" x14ac:dyDescent="0.25">
      <c r="B24" s="2" t="s">
        <v>1</v>
      </c>
      <c r="K24" t="s">
        <v>55</v>
      </c>
      <c r="L24">
        <v>0.50102250284826355</v>
      </c>
      <c r="M24">
        <v>0.74670822370738477</v>
      </c>
      <c r="N24">
        <v>0.25155209928683658</v>
      </c>
      <c r="O24">
        <v>0.28188721113684456</v>
      </c>
      <c r="P24">
        <v>0.3925647983096921</v>
      </c>
      <c r="R24" t="s">
        <v>55</v>
      </c>
      <c r="S24">
        <v>-0.82808344405437029</v>
      </c>
      <c r="T24">
        <v>-0.29712215851445856</v>
      </c>
      <c r="U24">
        <v>-0.26821500986145858</v>
      </c>
      <c r="V24">
        <v>-0.62303163988243793</v>
      </c>
      <c r="W24">
        <v>-0.23214617097312573</v>
      </c>
    </row>
    <row r="25" spans="2:25" x14ac:dyDescent="0.25">
      <c r="K25" t="s">
        <v>63</v>
      </c>
      <c r="L25">
        <v>0.55402504873183411</v>
      </c>
      <c r="M25">
        <v>0.46786636464833659</v>
      </c>
      <c r="N25">
        <v>0.50368950864036843</v>
      </c>
      <c r="O25">
        <v>0.60976038871676597</v>
      </c>
      <c r="P25">
        <v>0.3925647983096921</v>
      </c>
      <c r="R25" t="s">
        <v>63</v>
      </c>
      <c r="S25">
        <v>-0.58824914435183706</v>
      </c>
      <c r="T25">
        <v>-0.62289567112273891</v>
      </c>
      <c r="U25">
        <v>-0.67286772753366175</v>
      </c>
      <c r="V25">
        <v>-0.67564454509868999</v>
      </c>
      <c r="W25">
        <v>-0.23214617097312573</v>
      </c>
      <c r="Y25" t="s">
        <v>325</v>
      </c>
    </row>
    <row r="26" spans="2:25" x14ac:dyDescent="0.25">
      <c r="B26" s="9"/>
      <c r="C26" s="406" t="s">
        <v>5</v>
      </c>
      <c r="D26" s="406"/>
      <c r="E26" s="407"/>
      <c r="F26" s="405" t="s">
        <v>6</v>
      </c>
      <c r="G26" s="406"/>
      <c r="H26" s="407"/>
      <c r="K26" t="s">
        <v>65</v>
      </c>
      <c r="L26">
        <v>0.55402504873183411</v>
      </c>
      <c r="M26">
        <v>0.46786636464833659</v>
      </c>
      <c r="N26">
        <v>0.53363865540667543</v>
      </c>
      <c r="O26">
        <v>0.60976038871676597</v>
      </c>
      <c r="P26">
        <v>0.34490477224011856</v>
      </c>
      <c r="R26" t="s">
        <v>65</v>
      </c>
      <c r="S26">
        <v>-0.7965052882687792</v>
      </c>
      <c r="T26">
        <v>-0.62289567112273891</v>
      </c>
      <c r="U26">
        <v>-0.8630344660902084</v>
      </c>
      <c r="V26">
        <v>-0.67564454509868999</v>
      </c>
      <c r="W26">
        <v>-0.23214617097312573</v>
      </c>
      <c r="Y26" t="s">
        <v>326</v>
      </c>
    </row>
    <row r="27" spans="2:25" x14ac:dyDescent="0.25">
      <c r="B27" s="12"/>
      <c r="C27" s="14" t="s">
        <v>5</v>
      </c>
      <c r="D27" s="14" t="s">
        <v>6</v>
      </c>
      <c r="E27" s="15" t="s">
        <v>7</v>
      </c>
      <c r="F27" s="13" t="s">
        <v>5</v>
      </c>
      <c r="G27" s="14" t="s">
        <v>6</v>
      </c>
      <c r="H27" s="15" t="s">
        <v>7</v>
      </c>
      <c r="K27" t="s">
        <v>68</v>
      </c>
      <c r="L27">
        <v>0.55402504873183411</v>
      </c>
      <c r="M27">
        <v>0.46786636464833659</v>
      </c>
      <c r="N27">
        <v>8.3564195564633459E-2</v>
      </c>
      <c r="O27">
        <v>0.60976038871676597</v>
      </c>
      <c r="P27">
        <v>0.3925647983096921</v>
      </c>
      <c r="R27" t="s">
        <v>68</v>
      </c>
      <c r="S27">
        <v>-0.58824914435183706</v>
      </c>
      <c r="T27">
        <v>-0.99735276395167538</v>
      </c>
      <c r="U27">
        <v>-0.31627727930993732</v>
      </c>
      <c r="V27">
        <v>-0.47312992818681737</v>
      </c>
      <c r="W27">
        <v>-0.23214617097312573</v>
      </c>
      <c r="Y27" t="s">
        <v>327</v>
      </c>
    </row>
    <row r="28" spans="2:25" x14ac:dyDescent="0.25">
      <c r="B28" s="23" t="s">
        <v>177</v>
      </c>
      <c r="C28" s="213">
        <f t="array" ref="C28:H28">C19:H19</f>
        <v>0.9845766139586879</v>
      </c>
      <c r="D28" s="213">
        <v>1.468080839483224E-2</v>
      </c>
      <c r="E28" s="217">
        <v>7.4257764647988396E-4</v>
      </c>
      <c r="F28" s="224">
        <v>0.31078438220297544</v>
      </c>
      <c r="G28" s="213">
        <v>0.63003771739889647</v>
      </c>
      <c r="H28" s="217">
        <v>5.9177900398128098E-2</v>
      </c>
      <c r="K28" t="s">
        <v>70</v>
      </c>
      <c r="L28">
        <v>0.47686637371297319</v>
      </c>
      <c r="M28">
        <v>0.76338592828140683</v>
      </c>
      <c r="N28">
        <v>0.27185564186292316</v>
      </c>
      <c r="O28">
        <v>0.63847031502210538</v>
      </c>
      <c r="P28">
        <v>0.3925647983096921</v>
      </c>
      <c r="R28" t="s">
        <v>70</v>
      </c>
      <c r="S28">
        <v>-0.58824914435183706</v>
      </c>
      <c r="T28">
        <v>-0.77280371715827223</v>
      </c>
      <c r="U28">
        <v>-0.77128228524391029</v>
      </c>
      <c r="V28">
        <v>-0.47271449722093828</v>
      </c>
      <c r="W28">
        <v>-0.23214617097312573</v>
      </c>
      <c r="Y28" t="s">
        <v>328</v>
      </c>
    </row>
    <row r="29" spans="2:25" x14ac:dyDescent="0.25">
      <c r="B29" s="9" t="s">
        <v>11</v>
      </c>
      <c r="C29" s="18">
        <f>MAX(0,1-SUM(D29:E29))</f>
        <v>0.97742665662274153</v>
      </c>
      <c r="D29" s="228">
        <f>_xlfn.NORM.S.DIST(_xlfn.NORM.S.INV(D$28)+$I$6*H11,1)</f>
        <v>1.9751969392644113E-2</v>
      </c>
      <c r="E29" s="222">
        <f>_xlfn.NORM.S.DIST(_xlfn.NORM.S.INV(E$28)+H11,1)</f>
        <v>2.8213739846143682E-3</v>
      </c>
      <c r="F29" s="18">
        <f>_xlfn.NORM.S.DIST(_xlfn.NORM.S.INV(F$28)+$I$8*H11,1)</f>
        <v>0.23535700241399476</v>
      </c>
      <c r="G29" s="228">
        <f>MAX(0,1-SUM(F29,H29))</f>
        <v>0.63998106873211225</v>
      </c>
      <c r="H29" s="225">
        <f>_xlfn.NORM.S.DIST(_xlfn.NORM.S.INV(H$28)+H11,1)</f>
        <v>0.12466192885389296</v>
      </c>
      <c r="K29" t="s">
        <v>72</v>
      </c>
      <c r="L29">
        <v>0.55402504873183411</v>
      </c>
      <c r="M29">
        <v>0.46786636464833659</v>
      </c>
      <c r="N29">
        <v>0.50368950864036843</v>
      </c>
      <c r="O29">
        <v>0.60976038871676597</v>
      </c>
      <c r="P29">
        <v>0.3925647983096921</v>
      </c>
      <c r="R29" t="s">
        <v>72</v>
      </c>
      <c r="S29">
        <v>-0.58824914435183706</v>
      </c>
      <c r="T29">
        <v>-0.62289567112273891</v>
      </c>
      <c r="U29">
        <v>-0.67286772753366175</v>
      </c>
      <c r="V29">
        <v>-0.67564454509868999</v>
      </c>
      <c r="W29">
        <v>-0.23214617097312573</v>
      </c>
    </row>
    <row r="30" spans="2:25" x14ac:dyDescent="0.25">
      <c r="B30" s="9" t="s">
        <v>12</v>
      </c>
      <c r="C30" s="18">
        <f t="shared" ref="C30:C31" si="7">MAX(0,1-SUM(D30:E30))</f>
        <v>0.9742548104773473</v>
      </c>
      <c r="D30" s="18">
        <f t="shared" ref="D30:D31" si="8">_xlfn.NORM.S.DIST(_xlfn.NORM.S.INV(D$28)+$I$6*H12,1)</f>
        <v>2.160510209632335E-2</v>
      </c>
      <c r="E30" s="220">
        <f t="shared" ref="E30:E31" si="9">_xlfn.NORM.S.DIST(_xlfn.NORM.S.INV(E$28)+H12,1)</f>
        <v>4.1400874263293084E-3</v>
      </c>
      <c r="F30" s="18">
        <f t="shared" ref="F30:F31" si="10">_xlfn.NORM.S.DIST(_xlfn.NORM.S.INV(F$28)+$I$8*H12,1)</f>
        <v>0.21414256646319382</v>
      </c>
      <c r="G30" s="18">
        <f t="shared" ref="G30:G31" si="11">MAX(0,1-SUM(F30,H30))</f>
        <v>0.63307438922753556</v>
      </c>
      <c r="H30" s="220">
        <f t="shared" ref="H30:H31" si="12">_xlfn.NORM.S.DIST(_xlfn.NORM.S.INV(H$28)+H12,1)</f>
        <v>0.15278304430927062</v>
      </c>
      <c r="K30" t="s">
        <v>80</v>
      </c>
      <c r="L30">
        <v>0.57974475444513318</v>
      </c>
      <c r="M30">
        <v>0.32902164890036245</v>
      </c>
      <c r="N30">
        <v>0.50634182129825189</v>
      </c>
      <c r="O30">
        <v>0.424999926414661</v>
      </c>
      <c r="P30">
        <v>0.3925647983096921</v>
      </c>
      <c r="R30" t="s">
        <v>80</v>
      </c>
      <c r="S30">
        <v>-0.58824914435183706</v>
      </c>
      <c r="T30">
        <v>-0.78435235966376826</v>
      </c>
      <c r="U30">
        <v>-0.89718782566032051</v>
      </c>
      <c r="V30">
        <v>-0.67564454509868999</v>
      </c>
      <c r="W30">
        <v>-0.23214617097312573</v>
      </c>
      <c r="Y30" t="s">
        <v>329</v>
      </c>
    </row>
    <row r="31" spans="2:25" x14ac:dyDescent="0.25">
      <c r="B31" s="12" t="s">
        <v>13</v>
      </c>
      <c r="C31" s="215">
        <f t="shared" si="7"/>
        <v>0.97318109847274969</v>
      </c>
      <c r="D31" s="215">
        <f t="shared" si="8"/>
        <v>2.2188159708024416E-2</v>
      </c>
      <c r="E31" s="221">
        <f t="shared" si="9"/>
        <v>4.6307418192259031E-3</v>
      </c>
      <c r="F31" s="215">
        <f t="shared" si="10"/>
        <v>0.2080098135058773</v>
      </c>
      <c r="G31" s="215">
        <f t="shared" si="11"/>
        <v>0.63001970017903419</v>
      </c>
      <c r="H31" s="221">
        <f t="shared" si="12"/>
        <v>0.16197048631508851</v>
      </c>
      <c r="K31" t="s">
        <v>74</v>
      </c>
      <c r="L31">
        <v>0.55402504873183411</v>
      </c>
      <c r="M31">
        <v>0.46786636464833659</v>
      </c>
      <c r="N31">
        <v>0.50368950864036843</v>
      </c>
      <c r="O31">
        <v>0.60976038871676597</v>
      </c>
      <c r="P31">
        <v>0.3925647983096921</v>
      </c>
      <c r="R31" t="s">
        <v>74</v>
      </c>
      <c r="S31">
        <v>-0.58824914435183706</v>
      </c>
      <c r="T31">
        <v>-0.62289567112273891</v>
      </c>
      <c r="U31">
        <v>-0.67286772753366175</v>
      </c>
      <c r="V31">
        <v>-0.67564454509868999</v>
      </c>
      <c r="W31">
        <v>-0.23214617097312573</v>
      </c>
      <c r="Y31" t="s">
        <v>330</v>
      </c>
    </row>
    <row r="32" spans="2:25" x14ac:dyDescent="0.25">
      <c r="K32" s="11" t="s">
        <v>76</v>
      </c>
      <c r="L32" s="11">
        <v>0.55402504873183411</v>
      </c>
      <c r="M32" s="11">
        <v>0.46786636464833659</v>
      </c>
      <c r="N32" s="11">
        <v>0.50368950864036843</v>
      </c>
      <c r="O32" s="11">
        <v>0.60976038871676597</v>
      </c>
      <c r="P32" s="11">
        <v>0.3925647983096921</v>
      </c>
      <c r="R32" s="11" t="s">
        <v>76</v>
      </c>
      <c r="S32" s="11">
        <v>-0.58824914435183706</v>
      </c>
      <c r="T32" s="11">
        <v>-0.62289567112273891</v>
      </c>
      <c r="U32" s="11">
        <v>-0.67286772753366175</v>
      </c>
      <c r="V32" s="11">
        <v>-0.67564454509868999</v>
      </c>
      <c r="W32" s="11">
        <v>-0.23214617097312573</v>
      </c>
      <c r="Y32" t="s">
        <v>331</v>
      </c>
    </row>
    <row r="33" spans="2:25" x14ac:dyDescent="0.25">
      <c r="K33" t="s">
        <v>100</v>
      </c>
      <c r="L33" s="5">
        <f>PERCENTILE(L$5:L$32,0.75)</f>
        <v>0.55402504873183411</v>
      </c>
      <c r="M33" s="5">
        <f t="shared" ref="M33:P48" si="13">PERCENTILE(M$5:M$32,0.75)</f>
        <v>0.46786636464833659</v>
      </c>
      <c r="N33" s="5">
        <f t="shared" si="13"/>
        <v>0.50368950864036843</v>
      </c>
      <c r="O33" s="5">
        <f t="shared" si="13"/>
        <v>0.60976038871676597</v>
      </c>
      <c r="P33" s="5">
        <f t="shared" si="13"/>
        <v>0.3925647983096921</v>
      </c>
      <c r="R33" t="s">
        <v>100</v>
      </c>
      <c r="S33" s="5">
        <f>PERCENTILE(S$5:S$32,0.25)</f>
        <v>-0.58824914435183706</v>
      </c>
      <c r="T33" s="5">
        <f t="shared" ref="T33:W48" si="14">PERCENTILE(T$5:T$32,0.25)</f>
        <v>-0.63670966287236852</v>
      </c>
      <c r="U33" s="5">
        <f t="shared" si="14"/>
        <v>-0.69747136696122392</v>
      </c>
      <c r="V33" s="5">
        <f t="shared" si="14"/>
        <v>-0.67564454509868999</v>
      </c>
      <c r="W33" s="5">
        <f t="shared" si="14"/>
        <v>-0.23214617097312573</v>
      </c>
      <c r="Y33" t="s">
        <v>332</v>
      </c>
    </row>
    <row r="34" spans="2:25" x14ac:dyDescent="0.25">
      <c r="B34" s="2" t="s">
        <v>0</v>
      </c>
      <c r="K34" t="s">
        <v>101</v>
      </c>
      <c r="L34" s="8">
        <f t="shared" ref="L34:L48" si="15">PERCENTILE(L$5:L$32,0.75)</f>
        <v>0.55402504873183411</v>
      </c>
      <c r="M34" s="8">
        <f t="shared" si="13"/>
        <v>0.46786636464833659</v>
      </c>
      <c r="N34" s="8">
        <f t="shared" si="13"/>
        <v>0.50368950864036843</v>
      </c>
      <c r="O34" s="8">
        <f t="shared" si="13"/>
        <v>0.60976038871676597</v>
      </c>
      <c r="P34" s="8">
        <f t="shared" si="13"/>
        <v>0.3925647983096921</v>
      </c>
      <c r="R34" t="s">
        <v>101</v>
      </c>
      <c r="S34" s="8">
        <f t="shared" ref="S34:S48" si="16">PERCENTILE(S$5:S$32,0.25)</f>
        <v>-0.58824914435183706</v>
      </c>
      <c r="T34" s="8">
        <f t="shared" si="14"/>
        <v>-0.63670966287236852</v>
      </c>
      <c r="U34" s="8">
        <f t="shared" si="14"/>
        <v>-0.69747136696122392</v>
      </c>
      <c r="V34" s="8">
        <f t="shared" si="14"/>
        <v>-0.67564454509868999</v>
      </c>
      <c r="W34" s="8">
        <f t="shared" si="14"/>
        <v>-0.23214617097312573</v>
      </c>
      <c r="Y34" t="s">
        <v>333</v>
      </c>
    </row>
    <row r="35" spans="2:25" x14ac:dyDescent="0.25">
      <c r="K35" t="s">
        <v>102</v>
      </c>
      <c r="L35" s="8">
        <f t="shared" si="15"/>
        <v>0.55402504873183411</v>
      </c>
      <c r="M35" s="8">
        <f t="shared" si="13"/>
        <v>0.46786636464833659</v>
      </c>
      <c r="N35" s="8">
        <f t="shared" si="13"/>
        <v>0.50368950864036843</v>
      </c>
      <c r="O35" s="8">
        <f t="shared" si="13"/>
        <v>0.60976038871676597</v>
      </c>
      <c r="P35" s="8">
        <f t="shared" si="13"/>
        <v>0.3925647983096921</v>
      </c>
      <c r="R35" t="s">
        <v>102</v>
      </c>
      <c r="S35" s="8">
        <f t="shared" si="16"/>
        <v>-0.58824914435183706</v>
      </c>
      <c r="T35" s="8">
        <f t="shared" si="14"/>
        <v>-0.63670966287236852</v>
      </c>
      <c r="U35" s="8">
        <f t="shared" si="14"/>
        <v>-0.69747136696122392</v>
      </c>
      <c r="V35" s="8">
        <f t="shared" si="14"/>
        <v>-0.67564454509868999</v>
      </c>
      <c r="W35" s="8">
        <f t="shared" si="14"/>
        <v>-0.23214617097312573</v>
      </c>
      <c r="Y35" t="s">
        <v>334</v>
      </c>
    </row>
    <row r="36" spans="2:25" x14ac:dyDescent="0.25">
      <c r="B36" s="9"/>
      <c r="C36" s="406" t="s">
        <v>5</v>
      </c>
      <c r="D36" s="406"/>
      <c r="E36" s="407"/>
      <c r="F36" s="405" t="s">
        <v>6</v>
      </c>
      <c r="G36" s="406"/>
      <c r="H36" s="407"/>
      <c r="K36" t="s">
        <v>103</v>
      </c>
      <c r="L36" s="8">
        <f t="shared" si="15"/>
        <v>0.55402504873183411</v>
      </c>
      <c r="M36" s="8">
        <f t="shared" si="13"/>
        <v>0.46786636464833659</v>
      </c>
      <c r="N36" s="8">
        <f t="shared" si="13"/>
        <v>0.50368950864036843</v>
      </c>
      <c r="O36" s="8">
        <f t="shared" si="13"/>
        <v>0.60976038871676597</v>
      </c>
      <c r="P36" s="8">
        <f t="shared" si="13"/>
        <v>0.3925647983096921</v>
      </c>
      <c r="R36" t="s">
        <v>103</v>
      </c>
      <c r="S36" s="8">
        <f t="shared" si="16"/>
        <v>-0.58824914435183706</v>
      </c>
      <c r="T36" s="8">
        <f t="shared" si="14"/>
        <v>-0.63670966287236852</v>
      </c>
      <c r="U36" s="8">
        <f t="shared" si="14"/>
        <v>-0.69747136696122392</v>
      </c>
      <c r="V36" s="8">
        <f t="shared" si="14"/>
        <v>-0.67564454509868999</v>
      </c>
      <c r="W36" s="8">
        <f t="shared" si="14"/>
        <v>-0.23214617097312573</v>
      </c>
      <c r="Y36" t="s">
        <v>335</v>
      </c>
    </row>
    <row r="37" spans="2:25" x14ac:dyDescent="0.25">
      <c r="B37" s="12"/>
      <c r="C37" s="14" t="s">
        <v>5</v>
      </c>
      <c r="D37" s="14" t="s">
        <v>6</v>
      </c>
      <c r="E37" s="15" t="s">
        <v>7</v>
      </c>
      <c r="F37" s="13" t="s">
        <v>5</v>
      </c>
      <c r="G37" s="14" t="s">
        <v>6</v>
      </c>
      <c r="H37" s="15" t="s">
        <v>7</v>
      </c>
      <c r="K37" t="s">
        <v>104</v>
      </c>
      <c r="L37" s="8">
        <f t="shared" si="15"/>
        <v>0.55402504873183411</v>
      </c>
      <c r="M37" s="8">
        <f t="shared" si="13"/>
        <v>0.46786636464833659</v>
      </c>
      <c r="N37" s="8">
        <f t="shared" si="13"/>
        <v>0.50368950864036843</v>
      </c>
      <c r="O37" s="8">
        <f t="shared" si="13"/>
        <v>0.60976038871676597</v>
      </c>
      <c r="P37" s="8">
        <f t="shared" si="13"/>
        <v>0.3925647983096921</v>
      </c>
      <c r="R37" t="s">
        <v>104</v>
      </c>
      <c r="S37" s="8">
        <f t="shared" si="16"/>
        <v>-0.58824914435183706</v>
      </c>
      <c r="T37" s="8">
        <f t="shared" si="14"/>
        <v>-0.63670966287236852</v>
      </c>
      <c r="U37" s="8">
        <f t="shared" si="14"/>
        <v>-0.69747136696122392</v>
      </c>
      <c r="V37" s="8">
        <f t="shared" si="14"/>
        <v>-0.67564454509868999</v>
      </c>
      <c r="W37" s="8">
        <f t="shared" si="14"/>
        <v>-0.23214617097312573</v>
      </c>
      <c r="Y37" t="s">
        <v>336</v>
      </c>
    </row>
    <row r="38" spans="2:25" x14ac:dyDescent="0.25">
      <c r="B38" s="9" t="s">
        <v>11</v>
      </c>
      <c r="C38" s="214">
        <f>C20/SUM($C20:$E20)</f>
        <v>0.98464870449225605</v>
      </c>
      <c r="D38" s="229">
        <f t="shared" ref="D38:E38" si="17">D20/SUM($C20:$E20)</f>
        <v>1.4622396667510218E-2</v>
      </c>
      <c r="E38" s="218">
        <f t="shared" si="17"/>
        <v>7.2889884023379775E-4</v>
      </c>
      <c r="F38" s="214">
        <f>F20/SUM($F20:$H20)</f>
        <v>0.31184254093632119</v>
      </c>
      <c r="G38" s="229">
        <f t="shared" ref="G38:H38" si="18">G20/SUM($F20:$H20)</f>
        <v>0.62961174848210988</v>
      </c>
      <c r="H38" s="218">
        <f t="shared" si="18"/>
        <v>5.8545710581568947E-2</v>
      </c>
      <c r="K38" t="s">
        <v>105</v>
      </c>
      <c r="L38" s="8">
        <f t="shared" si="15"/>
        <v>0.55402504873183411</v>
      </c>
      <c r="M38" s="8">
        <f t="shared" si="13"/>
        <v>0.46786636464833659</v>
      </c>
      <c r="N38" s="8">
        <f t="shared" si="13"/>
        <v>0.50368950864036843</v>
      </c>
      <c r="O38" s="8">
        <f t="shared" si="13"/>
        <v>0.60976038871676597</v>
      </c>
      <c r="P38" s="8">
        <f t="shared" si="13"/>
        <v>0.3925647983096921</v>
      </c>
      <c r="R38" t="s">
        <v>105</v>
      </c>
      <c r="S38" s="8">
        <f t="shared" si="16"/>
        <v>-0.58824914435183706</v>
      </c>
      <c r="T38" s="8">
        <f t="shared" si="14"/>
        <v>-0.63670966287236852</v>
      </c>
      <c r="U38" s="8">
        <f t="shared" si="14"/>
        <v>-0.69747136696122392</v>
      </c>
      <c r="V38" s="8">
        <f t="shared" si="14"/>
        <v>-0.67564454509868999</v>
      </c>
      <c r="W38" s="8">
        <f t="shared" si="14"/>
        <v>-0.23214617097312573</v>
      </c>
      <c r="Y38" t="s">
        <v>337</v>
      </c>
    </row>
    <row r="39" spans="2:25" x14ac:dyDescent="0.25">
      <c r="B39" s="9" t="s">
        <v>12</v>
      </c>
      <c r="C39" s="214">
        <f t="shared" ref="C39:E39" si="19">C21/SUM($C21:$E21)</f>
        <v>0.98454080352925522</v>
      </c>
      <c r="D39" s="214">
        <f t="shared" si="19"/>
        <v>1.4709767511719743E-2</v>
      </c>
      <c r="E39" s="218">
        <f t="shared" si="19"/>
        <v>7.4942895902508104E-4</v>
      </c>
      <c r="F39" s="214">
        <f t="shared" ref="F39:H39" si="20">F21/SUM($F21:$H21)</f>
        <v>0.31026169220147304</v>
      </c>
      <c r="G39" s="214">
        <f t="shared" si="20"/>
        <v>0.63024581296025683</v>
      </c>
      <c r="H39" s="218">
        <f t="shared" si="20"/>
        <v>5.9492494838270175E-2</v>
      </c>
      <c r="K39" t="s">
        <v>106</v>
      </c>
      <c r="L39" s="8">
        <f t="shared" si="15"/>
        <v>0.55402504873183411</v>
      </c>
      <c r="M39" s="8">
        <f t="shared" si="13"/>
        <v>0.46786636464833659</v>
      </c>
      <c r="N39" s="8">
        <f t="shared" si="13"/>
        <v>0.50368950864036843</v>
      </c>
      <c r="O39" s="8">
        <f t="shared" si="13"/>
        <v>0.60976038871676597</v>
      </c>
      <c r="P39" s="8">
        <f t="shared" si="13"/>
        <v>0.3925647983096921</v>
      </c>
      <c r="R39" t="s">
        <v>106</v>
      </c>
      <c r="S39" s="8">
        <f t="shared" si="16"/>
        <v>-0.58824914435183706</v>
      </c>
      <c r="T39" s="8">
        <f t="shared" si="14"/>
        <v>-0.63670966287236852</v>
      </c>
      <c r="U39" s="8">
        <f t="shared" si="14"/>
        <v>-0.69747136696122392</v>
      </c>
      <c r="V39" s="8">
        <f t="shared" si="14"/>
        <v>-0.67564454509868999</v>
      </c>
      <c r="W39" s="8">
        <f t="shared" si="14"/>
        <v>-0.23214617097312573</v>
      </c>
      <c r="Y39" t="s">
        <v>338</v>
      </c>
    </row>
    <row r="40" spans="2:25" x14ac:dyDescent="0.25">
      <c r="B40" s="12" t="s">
        <v>13</v>
      </c>
      <c r="C40" s="216">
        <f t="shared" ref="C40:E40" si="21">C22/SUM($C22:$E22)</f>
        <v>0.98450644555255618</v>
      </c>
      <c r="D40" s="216">
        <f t="shared" si="21"/>
        <v>1.4737516818334052E-2</v>
      </c>
      <c r="E40" s="219">
        <f t="shared" si="21"/>
        <v>7.560376291098406E-4</v>
      </c>
      <c r="F40" s="216">
        <f t="shared" ref="F40:H40" si="22">F22/SUM($F22:$H22)</f>
        <v>0.30976202663740071</v>
      </c>
      <c r="G40" s="216">
        <f t="shared" si="22"/>
        <v>0.63044330082247935</v>
      </c>
      <c r="H40" s="219">
        <f t="shared" si="22"/>
        <v>5.9794672540119928E-2</v>
      </c>
      <c r="K40" t="s">
        <v>107</v>
      </c>
      <c r="L40" s="8">
        <f t="shared" si="15"/>
        <v>0.55402504873183411</v>
      </c>
      <c r="M40" s="8">
        <f t="shared" si="13"/>
        <v>0.46786636464833659</v>
      </c>
      <c r="N40" s="8">
        <f t="shared" si="13"/>
        <v>0.50368950864036843</v>
      </c>
      <c r="O40" s="8">
        <f t="shared" si="13"/>
        <v>0.60976038871676597</v>
      </c>
      <c r="P40" s="8">
        <f t="shared" si="13"/>
        <v>0.3925647983096921</v>
      </c>
      <c r="R40" t="s">
        <v>107</v>
      </c>
      <c r="S40" s="8">
        <f t="shared" si="16"/>
        <v>-0.58824914435183706</v>
      </c>
      <c r="T40" s="8">
        <f t="shared" si="14"/>
        <v>-0.63670966287236852</v>
      </c>
      <c r="U40" s="8">
        <f t="shared" si="14"/>
        <v>-0.69747136696122392</v>
      </c>
      <c r="V40" s="8">
        <f t="shared" si="14"/>
        <v>-0.67564454509868999</v>
      </c>
      <c r="W40" s="8">
        <f t="shared" si="14"/>
        <v>-0.23214617097312573</v>
      </c>
      <c r="Y40" t="s">
        <v>339</v>
      </c>
    </row>
    <row r="41" spans="2:25" x14ac:dyDescent="0.25">
      <c r="K41" t="s">
        <v>108</v>
      </c>
      <c r="L41" s="8">
        <f t="shared" si="15"/>
        <v>0.55402504873183411</v>
      </c>
      <c r="M41" s="8">
        <f t="shared" si="13"/>
        <v>0.46786636464833659</v>
      </c>
      <c r="N41" s="8">
        <f t="shared" si="13"/>
        <v>0.50368950864036843</v>
      </c>
      <c r="O41" s="8">
        <f t="shared" si="13"/>
        <v>0.60976038871676597</v>
      </c>
      <c r="P41" s="8">
        <f t="shared" si="13"/>
        <v>0.3925647983096921</v>
      </c>
      <c r="R41" t="s">
        <v>108</v>
      </c>
      <c r="S41" s="8">
        <f t="shared" si="16"/>
        <v>-0.58824914435183706</v>
      </c>
      <c r="T41" s="8">
        <f t="shared" si="14"/>
        <v>-0.63670966287236852</v>
      </c>
      <c r="U41" s="8">
        <f t="shared" si="14"/>
        <v>-0.69747136696122392</v>
      </c>
      <c r="V41" s="8">
        <f t="shared" si="14"/>
        <v>-0.67564454509868999</v>
      </c>
      <c r="W41" s="8">
        <f t="shared" si="14"/>
        <v>-0.23214617097312573</v>
      </c>
      <c r="Y41" t="s">
        <v>340</v>
      </c>
    </row>
    <row r="42" spans="2:25" x14ac:dyDescent="0.25">
      <c r="K42" t="s">
        <v>109</v>
      </c>
      <c r="L42" s="8">
        <f t="shared" si="15"/>
        <v>0.55402504873183411</v>
      </c>
      <c r="M42" s="8">
        <f t="shared" si="13"/>
        <v>0.46786636464833659</v>
      </c>
      <c r="N42" s="8">
        <f t="shared" si="13"/>
        <v>0.50368950864036843</v>
      </c>
      <c r="O42" s="8">
        <f t="shared" si="13"/>
        <v>0.60976038871676597</v>
      </c>
      <c r="P42" s="8">
        <f t="shared" si="13"/>
        <v>0.3925647983096921</v>
      </c>
      <c r="R42" t="s">
        <v>109</v>
      </c>
      <c r="S42" s="8">
        <f t="shared" si="16"/>
        <v>-0.58824914435183706</v>
      </c>
      <c r="T42" s="8">
        <f t="shared" si="14"/>
        <v>-0.63670966287236852</v>
      </c>
      <c r="U42" s="8">
        <f t="shared" si="14"/>
        <v>-0.69747136696122392</v>
      </c>
      <c r="V42" s="8">
        <f t="shared" si="14"/>
        <v>-0.67564454509868999</v>
      </c>
      <c r="W42" s="8">
        <f t="shared" si="14"/>
        <v>-0.23214617097312573</v>
      </c>
      <c r="Y42" t="s">
        <v>341</v>
      </c>
    </row>
    <row r="43" spans="2:25" x14ac:dyDescent="0.25">
      <c r="B43" s="2" t="s">
        <v>1</v>
      </c>
      <c r="K43" t="s">
        <v>110</v>
      </c>
      <c r="L43" s="8">
        <f t="shared" si="15"/>
        <v>0.55402504873183411</v>
      </c>
      <c r="M43" s="8">
        <f t="shared" si="13"/>
        <v>0.46786636464833659</v>
      </c>
      <c r="N43" s="8">
        <f t="shared" si="13"/>
        <v>0.50368950864036843</v>
      </c>
      <c r="O43" s="8">
        <f t="shared" si="13"/>
        <v>0.60976038871676597</v>
      </c>
      <c r="P43" s="8">
        <f t="shared" si="13"/>
        <v>0.3925647983096921</v>
      </c>
      <c r="R43" t="s">
        <v>110</v>
      </c>
      <c r="S43" s="8">
        <f t="shared" si="16"/>
        <v>-0.58824914435183706</v>
      </c>
      <c r="T43" s="8">
        <f t="shared" si="14"/>
        <v>-0.63670966287236852</v>
      </c>
      <c r="U43" s="8">
        <f t="shared" si="14"/>
        <v>-0.69747136696122392</v>
      </c>
      <c r="V43" s="8">
        <f t="shared" si="14"/>
        <v>-0.67564454509868999</v>
      </c>
      <c r="W43" s="8">
        <f t="shared" si="14"/>
        <v>-0.23214617097312573</v>
      </c>
    </row>
    <row r="44" spans="2:25" x14ac:dyDescent="0.25">
      <c r="K44" t="s">
        <v>111</v>
      </c>
      <c r="L44" s="8">
        <f t="shared" si="15"/>
        <v>0.55402504873183411</v>
      </c>
      <c r="M44" s="8">
        <f t="shared" si="13"/>
        <v>0.46786636464833659</v>
      </c>
      <c r="N44" s="8">
        <f t="shared" si="13"/>
        <v>0.50368950864036843</v>
      </c>
      <c r="O44" s="8">
        <f t="shared" si="13"/>
        <v>0.60976038871676597</v>
      </c>
      <c r="P44" s="8">
        <f t="shared" si="13"/>
        <v>0.3925647983096921</v>
      </c>
      <c r="R44" t="s">
        <v>111</v>
      </c>
      <c r="S44" s="8">
        <f t="shared" si="16"/>
        <v>-0.58824914435183706</v>
      </c>
      <c r="T44" s="8">
        <f t="shared" si="14"/>
        <v>-0.63670966287236852</v>
      </c>
      <c r="U44" s="8">
        <f t="shared" si="14"/>
        <v>-0.69747136696122392</v>
      </c>
      <c r="V44" s="8">
        <f t="shared" si="14"/>
        <v>-0.67564454509868999</v>
      </c>
      <c r="W44" s="8">
        <f t="shared" si="14"/>
        <v>-0.23214617097312573</v>
      </c>
      <c r="Y44" t="s">
        <v>342</v>
      </c>
    </row>
    <row r="45" spans="2:25" x14ac:dyDescent="0.25">
      <c r="B45" s="9"/>
      <c r="C45" s="406" t="s">
        <v>5</v>
      </c>
      <c r="D45" s="406"/>
      <c r="E45" s="407"/>
      <c r="F45" s="405" t="s">
        <v>6</v>
      </c>
      <c r="G45" s="406"/>
      <c r="H45" s="407"/>
      <c r="K45" t="s">
        <v>112</v>
      </c>
      <c r="L45" s="8">
        <f t="shared" si="15"/>
        <v>0.55402504873183411</v>
      </c>
      <c r="M45" s="8">
        <f t="shared" si="13"/>
        <v>0.46786636464833659</v>
      </c>
      <c r="N45" s="8">
        <f t="shared" si="13"/>
        <v>0.50368950864036843</v>
      </c>
      <c r="O45" s="8">
        <f t="shared" si="13"/>
        <v>0.60976038871676597</v>
      </c>
      <c r="P45" s="8">
        <f t="shared" si="13"/>
        <v>0.3925647983096921</v>
      </c>
      <c r="R45" t="s">
        <v>112</v>
      </c>
      <c r="S45" s="8">
        <f t="shared" si="16"/>
        <v>-0.58824914435183706</v>
      </c>
      <c r="T45" s="8">
        <f t="shared" si="14"/>
        <v>-0.63670966287236852</v>
      </c>
      <c r="U45" s="8">
        <f t="shared" si="14"/>
        <v>-0.69747136696122392</v>
      </c>
      <c r="V45" s="8">
        <f t="shared" si="14"/>
        <v>-0.67564454509868999</v>
      </c>
      <c r="W45" s="8">
        <f t="shared" si="14"/>
        <v>-0.23214617097312573</v>
      </c>
      <c r="Y45" t="s">
        <v>343</v>
      </c>
    </row>
    <row r="46" spans="2:25" x14ac:dyDescent="0.25">
      <c r="B46" s="12"/>
      <c r="C46" s="14" t="s">
        <v>5</v>
      </c>
      <c r="D46" s="14" t="s">
        <v>6</v>
      </c>
      <c r="E46" s="15" t="s">
        <v>7</v>
      </c>
      <c r="F46" s="13" t="s">
        <v>5</v>
      </c>
      <c r="G46" s="14" t="s">
        <v>6</v>
      </c>
      <c r="H46" s="15" t="s">
        <v>7</v>
      </c>
      <c r="K46" t="s">
        <v>113</v>
      </c>
      <c r="L46" s="8">
        <f t="shared" si="15"/>
        <v>0.55402504873183411</v>
      </c>
      <c r="M46" s="8">
        <f t="shared" si="13"/>
        <v>0.46786636464833659</v>
      </c>
      <c r="N46" s="8">
        <f t="shared" si="13"/>
        <v>0.50368950864036843</v>
      </c>
      <c r="O46" s="8">
        <f t="shared" si="13"/>
        <v>0.60976038871676597</v>
      </c>
      <c r="P46" s="8">
        <f t="shared" si="13"/>
        <v>0.3925647983096921</v>
      </c>
      <c r="R46" t="s">
        <v>113</v>
      </c>
      <c r="S46" s="8">
        <f t="shared" si="16"/>
        <v>-0.58824914435183706</v>
      </c>
      <c r="T46" s="8">
        <f t="shared" si="14"/>
        <v>-0.63670966287236852</v>
      </c>
      <c r="U46" s="8">
        <f t="shared" si="14"/>
        <v>-0.69747136696122392</v>
      </c>
      <c r="V46" s="8">
        <f t="shared" si="14"/>
        <v>-0.67564454509868999</v>
      </c>
      <c r="W46" s="8">
        <f t="shared" si="14"/>
        <v>-0.23214617097312573</v>
      </c>
      <c r="Y46" t="s">
        <v>344</v>
      </c>
    </row>
    <row r="47" spans="2:25" x14ac:dyDescent="0.25">
      <c r="B47" s="9" t="s">
        <v>11</v>
      </c>
      <c r="C47" s="230">
        <f>C29/SUM($C29:$E29)</f>
        <v>0.97742665662274153</v>
      </c>
      <c r="D47" s="231">
        <f t="shared" ref="D47:E47" si="23">D29/SUM($C29:$E29)</f>
        <v>1.9751969392644113E-2</v>
      </c>
      <c r="E47" s="232">
        <f t="shared" si="23"/>
        <v>2.8213739846143682E-3</v>
      </c>
      <c r="F47" s="230">
        <f>F29/SUM($F29:$H29)</f>
        <v>0.23535700241399479</v>
      </c>
      <c r="G47" s="231">
        <f t="shared" ref="G47:H47" si="24">G29/SUM($F29:$H29)</f>
        <v>0.63998106873211236</v>
      </c>
      <c r="H47" s="232">
        <f t="shared" si="24"/>
        <v>0.12466192885389298</v>
      </c>
      <c r="K47" t="s">
        <v>114</v>
      </c>
      <c r="L47" s="8">
        <f t="shared" si="15"/>
        <v>0.55402504873183411</v>
      </c>
      <c r="M47" s="8">
        <f t="shared" si="13"/>
        <v>0.46786636464833659</v>
      </c>
      <c r="N47" s="8">
        <f t="shared" si="13"/>
        <v>0.50368950864036843</v>
      </c>
      <c r="O47" s="8">
        <f t="shared" si="13"/>
        <v>0.60976038871676597</v>
      </c>
      <c r="P47" s="8">
        <f t="shared" si="13"/>
        <v>0.3925647983096921</v>
      </c>
      <c r="R47" t="s">
        <v>114</v>
      </c>
      <c r="S47" s="8">
        <f t="shared" si="16"/>
        <v>-0.58824914435183706</v>
      </c>
      <c r="T47" s="8">
        <f t="shared" si="14"/>
        <v>-0.63670966287236852</v>
      </c>
      <c r="U47" s="8">
        <f t="shared" si="14"/>
        <v>-0.69747136696122392</v>
      </c>
      <c r="V47" s="8">
        <f t="shared" si="14"/>
        <v>-0.67564454509868999</v>
      </c>
      <c r="W47" s="8">
        <f t="shared" si="14"/>
        <v>-0.23214617097312573</v>
      </c>
      <c r="Y47" t="s">
        <v>345</v>
      </c>
    </row>
    <row r="48" spans="2:25" x14ac:dyDescent="0.25">
      <c r="B48" s="9" t="s">
        <v>12</v>
      </c>
      <c r="C48" s="230">
        <f t="shared" ref="C48:E48" si="25">C30/SUM($C30:$E30)</f>
        <v>0.9742548104773473</v>
      </c>
      <c r="D48" s="230">
        <f t="shared" si="25"/>
        <v>2.160510209632335E-2</v>
      </c>
      <c r="E48" s="232">
        <f t="shared" si="25"/>
        <v>4.1400874263293084E-3</v>
      </c>
      <c r="F48" s="230">
        <f t="shared" ref="F48:H48" si="26">F30/SUM($F30:$H30)</f>
        <v>0.21414256646319382</v>
      </c>
      <c r="G48" s="230">
        <f t="shared" si="26"/>
        <v>0.63307438922753556</v>
      </c>
      <c r="H48" s="232">
        <f t="shared" si="26"/>
        <v>0.15278304430927062</v>
      </c>
      <c r="K48" s="11" t="s">
        <v>115</v>
      </c>
      <c r="L48" s="11">
        <f t="shared" si="15"/>
        <v>0.55402504873183411</v>
      </c>
      <c r="M48" s="11">
        <f t="shared" si="13"/>
        <v>0.46786636464833659</v>
      </c>
      <c r="N48" s="11">
        <f t="shared" si="13"/>
        <v>0.50368950864036843</v>
      </c>
      <c r="O48" s="11">
        <f t="shared" si="13"/>
        <v>0.60976038871676597</v>
      </c>
      <c r="P48" s="11">
        <f t="shared" si="13"/>
        <v>0.3925647983096921</v>
      </c>
      <c r="R48" s="11" t="s">
        <v>115</v>
      </c>
      <c r="S48" s="11">
        <f t="shared" si="16"/>
        <v>-0.58824914435183706</v>
      </c>
      <c r="T48" s="11">
        <f t="shared" si="14"/>
        <v>-0.63670966287236852</v>
      </c>
      <c r="U48" s="11">
        <f t="shared" si="14"/>
        <v>-0.69747136696122392</v>
      </c>
      <c r="V48" s="11">
        <f t="shared" si="14"/>
        <v>-0.67564454509868999</v>
      </c>
      <c r="W48" s="11">
        <f t="shared" si="14"/>
        <v>-0.23214617097312573</v>
      </c>
      <c r="Y48" t="s">
        <v>346</v>
      </c>
    </row>
    <row r="49" spans="2:25" x14ac:dyDescent="0.25">
      <c r="B49" s="12" t="s">
        <v>13</v>
      </c>
      <c r="C49" s="233">
        <f t="shared" ref="C49:E49" si="27">C31/SUM($C31:$E31)</f>
        <v>0.97318109847274969</v>
      </c>
      <c r="D49" s="233">
        <f t="shared" si="27"/>
        <v>2.2188159708024416E-2</v>
      </c>
      <c r="E49" s="234">
        <f t="shared" si="27"/>
        <v>4.6307418192259031E-3</v>
      </c>
      <c r="F49" s="233">
        <f t="shared" ref="F49:H49" si="28">F31/SUM($F31:$H31)</f>
        <v>0.2080098135058773</v>
      </c>
      <c r="G49" s="233">
        <f t="shared" si="28"/>
        <v>0.63001970017903419</v>
      </c>
      <c r="H49" s="234">
        <f t="shared" si="28"/>
        <v>0.16197048631508851</v>
      </c>
      <c r="Y49" t="s">
        <v>347</v>
      </c>
    </row>
    <row r="50" spans="2:25" x14ac:dyDescent="0.25">
      <c r="Y50" t="s">
        <v>348</v>
      </c>
    </row>
    <row r="51" spans="2:25" x14ac:dyDescent="0.25">
      <c r="Y51" t="s">
        <v>349</v>
      </c>
    </row>
    <row r="52" spans="2:25" x14ac:dyDescent="0.25">
      <c r="Y52" t="s">
        <v>350</v>
      </c>
    </row>
    <row r="53" spans="2:25" x14ac:dyDescent="0.25">
      <c r="Y53" t="s">
        <v>351</v>
      </c>
    </row>
    <row r="54" spans="2:25" x14ac:dyDescent="0.25">
      <c r="Y54" t="s">
        <v>352</v>
      </c>
    </row>
    <row r="55" spans="2:25" x14ac:dyDescent="0.25">
      <c r="Y55" t="s">
        <v>353</v>
      </c>
    </row>
    <row r="56" spans="2:25" x14ac:dyDescent="0.25">
      <c r="Y56" t="s">
        <v>354</v>
      </c>
    </row>
    <row r="57" spans="2:25" x14ac:dyDescent="0.25">
      <c r="Y57" t="s">
        <v>355</v>
      </c>
    </row>
    <row r="58" spans="2:25" x14ac:dyDescent="0.25">
      <c r="Y58" t="s">
        <v>356</v>
      </c>
    </row>
    <row r="59" spans="2:25" x14ac:dyDescent="0.25">
      <c r="Y59" t="s">
        <v>357</v>
      </c>
    </row>
    <row r="60" spans="2:25" x14ac:dyDescent="0.25">
      <c r="Y60" t="s">
        <v>358</v>
      </c>
    </row>
    <row r="61" spans="2:25" x14ac:dyDescent="0.25">
      <c r="Y61" t="s">
        <v>359</v>
      </c>
    </row>
    <row r="62" spans="2:25" x14ac:dyDescent="0.25">
      <c r="Y62" t="s">
        <v>360</v>
      </c>
    </row>
    <row r="63" spans="2:25" x14ac:dyDescent="0.25">
      <c r="Y63" t="s">
        <v>361</v>
      </c>
    </row>
    <row r="64" spans="2:25" x14ac:dyDescent="0.25">
      <c r="Y64" t="s">
        <v>362</v>
      </c>
    </row>
    <row r="65" spans="25:25" x14ac:dyDescent="0.25">
      <c r="Y65" t="s">
        <v>363</v>
      </c>
    </row>
    <row r="66" spans="25:25" x14ac:dyDescent="0.25">
      <c r="Y66" t="s">
        <v>364</v>
      </c>
    </row>
    <row r="67" spans="25:25" x14ac:dyDescent="0.25">
      <c r="Y67" t="s">
        <v>365</v>
      </c>
    </row>
    <row r="68" spans="25:25" x14ac:dyDescent="0.25">
      <c r="Y68" t="s">
        <v>366</v>
      </c>
    </row>
    <row r="69" spans="25:25" x14ac:dyDescent="0.25">
      <c r="Y69" t="s">
        <v>364</v>
      </c>
    </row>
    <row r="70" spans="25:25" x14ac:dyDescent="0.25">
      <c r="Y70" t="s">
        <v>367</v>
      </c>
    </row>
    <row r="71" spans="25:25" x14ac:dyDescent="0.25">
      <c r="Y71" t="s">
        <v>368</v>
      </c>
    </row>
    <row r="72" spans="25:25" x14ac:dyDescent="0.25">
      <c r="Y72" t="s">
        <v>369</v>
      </c>
    </row>
    <row r="73" spans="25:25" x14ac:dyDescent="0.25">
      <c r="Y73" t="s">
        <v>370</v>
      </c>
    </row>
    <row r="74" spans="25:25" x14ac:dyDescent="0.25">
      <c r="Y74" t="s">
        <v>371</v>
      </c>
    </row>
    <row r="75" spans="25:25" x14ac:dyDescent="0.25">
      <c r="Y75" t="s">
        <v>372</v>
      </c>
    </row>
    <row r="76" spans="25:25" x14ac:dyDescent="0.25">
      <c r="Y76" t="s">
        <v>373</v>
      </c>
    </row>
    <row r="77" spans="25:25" x14ac:dyDescent="0.25">
      <c r="Y77" t="s">
        <v>374</v>
      </c>
    </row>
    <row r="78" spans="25:25" x14ac:dyDescent="0.25">
      <c r="Y78" t="s">
        <v>360</v>
      </c>
    </row>
    <row r="79" spans="25:25" x14ac:dyDescent="0.25">
      <c r="Y79" t="s">
        <v>375</v>
      </c>
    </row>
    <row r="80" spans="25:25" x14ac:dyDescent="0.25">
      <c r="Y80" t="s">
        <v>367</v>
      </c>
    </row>
    <row r="81" spans="25:25" x14ac:dyDescent="0.25">
      <c r="Y81" t="s">
        <v>376</v>
      </c>
    </row>
    <row r="82" spans="25:25" x14ac:dyDescent="0.25">
      <c r="Y82" t="s">
        <v>369</v>
      </c>
    </row>
    <row r="83" spans="25:25" x14ac:dyDescent="0.25">
      <c r="Y83" t="s">
        <v>377</v>
      </c>
    </row>
    <row r="84" spans="25:25" x14ac:dyDescent="0.25">
      <c r="Y84" t="s">
        <v>378</v>
      </c>
    </row>
    <row r="85" spans="25:25" x14ac:dyDescent="0.25">
      <c r="Y85" t="s">
        <v>360</v>
      </c>
    </row>
    <row r="86" spans="25:25" x14ac:dyDescent="0.25">
      <c r="Y86" t="s">
        <v>379</v>
      </c>
    </row>
    <row r="87" spans="25:25" x14ac:dyDescent="0.25">
      <c r="Y87" t="s">
        <v>367</v>
      </c>
    </row>
    <row r="88" spans="25:25" x14ac:dyDescent="0.25">
      <c r="Y88" t="s">
        <v>380</v>
      </c>
    </row>
    <row r="89" spans="25:25" x14ac:dyDescent="0.25">
      <c r="Y89" t="s">
        <v>369</v>
      </c>
    </row>
    <row r="90" spans="25:25" x14ac:dyDescent="0.25">
      <c r="Y90" t="s">
        <v>381</v>
      </c>
    </row>
    <row r="91" spans="25:25" x14ac:dyDescent="0.25">
      <c r="Y91" t="s">
        <v>382</v>
      </c>
    </row>
    <row r="92" spans="25:25" x14ac:dyDescent="0.25">
      <c r="Y92" t="s">
        <v>383</v>
      </c>
    </row>
    <row r="93" spans="25:25" x14ac:dyDescent="0.25">
      <c r="Y93" t="s">
        <v>384</v>
      </c>
    </row>
    <row r="94" spans="25:25" x14ac:dyDescent="0.25">
      <c r="Y94" t="s">
        <v>385</v>
      </c>
    </row>
    <row r="95" spans="25:25" x14ac:dyDescent="0.25">
      <c r="Y95" t="s">
        <v>386</v>
      </c>
    </row>
    <row r="96" spans="25:25" x14ac:dyDescent="0.25">
      <c r="Y96" t="s">
        <v>387</v>
      </c>
    </row>
    <row r="97" spans="25:25" x14ac:dyDescent="0.25">
      <c r="Y97" t="s">
        <v>388</v>
      </c>
    </row>
    <row r="98" spans="25:25" x14ac:dyDescent="0.25">
      <c r="Y98" t="s">
        <v>389</v>
      </c>
    </row>
    <row r="99" spans="25:25" x14ac:dyDescent="0.25">
      <c r="Y99" t="s">
        <v>390</v>
      </c>
    </row>
    <row r="100" spans="25:25" x14ac:dyDescent="0.25">
      <c r="Y100" t="s">
        <v>391</v>
      </c>
    </row>
    <row r="101" spans="25:25" x14ac:dyDescent="0.25">
      <c r="Y101" t="s">
        <v>392</v>
      </c>
    </row>
    <row r="102" spans="25:25" x14ac:dyDescent="0.25">
      <c r="Y102" t="s">
        <v>393</v>
      </c>
    </row>
    <row r="103" spans="25:25" x14ac:dyDescent="0.25">
      <c r="Y103" t="s">
        <v>394</v>
      </c>
    </row>
    <row r="104" spans="25:25" x14ac:dyDescent="0.25">
      <c r="Y104" t="s">
        <v>395</v>
      </c>
    </row>
    <row r="105" spans="25:25" x14ac:dyDescent="0.25">
      <c r="Y105" t="s">
        <v>396</v>
      </c>
    </row>
    <row r="106" spans="25:25" x14ac:dyDescent="0.25">
      <c r="Y106" t="s">
        <v>397</v>
      </c>
    </row>
    <row r="107" spans="25:25" x14ac:dyDescent="0.25">
      <c r="Y107" t="s">
        <v>369</v>
      </c>
    </row>
    <row r="108" spans="25:25" x14ac:dyDescent="0.25">
      <c r="Y108" t="s">
        <v>398</v>
      </c>
    </row>
    <row r="109" spans="25:25" x14ac:dyDescent="0.25">
      <c r="Y109" t="s">
        <v>399</v>
      </c>
    </row>
    <row r="110" spans="25:25" x14ac:dyDescent="0.25">
      <c r="Y110" t="s">
        <v>400</v>
      </c>
    </row>
    <row r="111" spans="25:25" x14ac:dyDescent="0.25">
      <c r="Y111" t="s">
        <v>401</v>
      </c>
    </row>
    <row r="112" spans="25:25" x14ac:dyDescent="0.25">
      <c r="Y112" t="s">
        <v>355</v>
      </c>
    </row>
    <row r="113" spans="25:25" x14ac:dyDescent="0.25">
      <c r="Y113" t="s">
        <v>402</v>
      </c>
    </row>
    <row r="114" spans="25:25" x14ac:dyDescent="0.25">
      <c r="Y114" t="s">
        <v>403</v>
      </c>
    </row>
    <row r="115" spans="25:25" x14ac:dyDescent="0.25">
      <c r="Y115" t="s">
        <v>404</v>
      </c>
    </row>
    <row r="116" spans="25:25" x14ac:dyDescent="0.25">
      <c r="Y116" t="s">
        <v>405</v>
      </c>
    </row>
    <row r="117" spans="25:25" x14ac:dyDescent="0.25">
      <c r="Y117" t="s">
        <v>405</v>
      </c>
    </row>
  </sheetData>
  <mergeCells count="12">
    <mergeCell ref="B4:B6"/>
    <mergeCell ref="C17:E17"/>
    <mergeCell ref="F17:H17"/>
    <mergeCell ref="C26:E26"/>
    <mergeCell ref="F26:H26"/>
    <mergeCell ref="G8:H8"/>
    <mergeCell ref="E8:F8"/>
    <mergeCell ref="C36:E36"/>
    <mergeCell ref="F36:H36"/>
    <mergeCell ref="C45:E45"/>
    <mergeCell ref="F45:H45"/>
    <mergeCell ref="D2:F2"/>
  </mergeCells>
  <conditionalFormatting sqref="G4:G6">
    <cfRule type="cellIs" dxfId="1" priority="1" operator="lessThan">
      <formula>1</formula>
    </cfRule>
    <cfRule type="cellIs" dxfId="0" priority="2" operator="greaterThan">
      <formula>1</formula>
    </cfRule>
  </conditionalFormatting>
  <pageMargins left="0.7" right="0.7" top="0.75" bottom="0.75" header="0.3" footer="0.3"/>
  <pageSetup paperSize="9" orientation="portrait" r:id="rId1"/>
  <ignoredErrors>
    <ignoredError sqref="D4"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64"/>
  <sheetViews>
    <sheetView zoomScale="70" zoomScaleNormal="70" workbookViewId="0"/>
  </sheetViews>
  <sheetFormatPr defaultRowHeight="15" x14ac:dyDescent="0.25"/>
  <cols>
    <col min="2" max="2" width="10.85546875" bestFit="1" customWidth="1"/>
  </cols>
  <sheetData>
    <row r="2" spans="2:25" x14ac:dyDescent="0.25">
      <c r="H2" s="16" t="s">
        <v>128</v>
      </c>
      <c r="I2" s="346">
        <f>IF(AND($B$5="GR",$B$6="HH-HP"),0.548,IF(AND($B$5="GR",$B$6="NFC-RE"),0.43,0.3))</f>
        <v>0.3</v>
      </c>
      <c r="K2" t="s">
        <v>129</v>
      </c>
    </row>
    <row r="3" spans="2:25" x14ac:dyDescent="0.25">
      <c r="K3" t="s">
        <v>130</v>
      </c>
    </row>
    <row r="5" spans="2:25" x14ac:dyDescent="0.25">
      <c r="B5" s="20" t="str">
        <f>VLOOKUP('CR Path Generator'!$D$9,Lists!$F$4:$G$48,2,FALSE)</f>
        <v>DK</v>
      </c>
    </row>
    <row r="6" spans="2:25" x14ac:dyDescent="0.25">
      <c r="B6" s="20" t="str">
        <f>VLOOKUP('CR Path Generator'!$C$9,Lists!$C$4:$D$9,2,FALSE)</f>
        <v>NFC-RE</v>
      </c>
      <c r="H6" s="431" t="s">
        <v>131</v>
      </c>
      <c r="I6" s="432"/>
      <c r="J6" s="432"/>
      <c r="K6" s="432"/>
      <c r="L6" s="432"/>
      <c r="M6" s="432"/>
      <c r="N6" s="432"/>
      <c r="O6" s="432"/>
      <c r="P6" s="433"/>
      <c r="Q6" s="418" t="s">
        <v>132</v>
      </c>
      <c r="R6" s="419"/>
      <c r="S6" s="419"/>
      <c r="T6" s="419"/>
      <c r="U6" s="420"/>
      <c r="V6" s="423" t="s">
        <v>133</v>
      </c>
      <c r="W6" s="424"/>
    </row>
    <row r="8" spans="2:25" x14ac:dyDescent="0.25">
      <c r="C8" s="425" t="s">
        <v>134</v>
      </c>
      <c r="D8" s="427" t="s">
        <v>135</v>
      </c>
      <c r="E8" s="411" t="s">
        <v>15</v>
      </c>
      <c r="F8" s="412"/>
      <c r="G8" s="413"/>
      <c r="H8" s="427" t="s">
        <v>136</v>
      </c>
      <c r="I8" s="411" t="s">
        <v>137</v>
      </c>
      <c r="J8" s="413"/>
      <c r="K8" s="412" t="s">
        <v>138</v>
      </c>
      <c r="L8" s="413"/>
      <c r="M8" s="411" t="s">
        <v>139</v>
      </c>
      <c r="N8" s="413"/>
      <c r="O8" s="411" t="s">
        <v>16</v>
      </c>
      <c r="P8" s="413"/>
      <c r="Q8" s="421" t="s">
        <v>140</v>
      </c>
      <c r="R8" s="411" t="s">
        <v>139</v>
      </c>
      <c r="S8" s="413"/>
      <c r="T8" s="411" t="s">
        <v>16</v>
      </c>
      <c r="U8" s="413"/>
      <c r="V8" s="411" t="s">
        <v>16</v>
      </c>
      <c r="W8" s="413"/>
    </row>
    <row r="9" spans="2:25" x14ac:dyDescent="0.25">
      <c r="B9" s="1"/>
      <c r="C9" s="426"/>
      <c r="D9" s="428"/>
      <c r="E9" s="13" t="s">
        <v>144</v>
      </c>
      <c r="F9" s="14" t="s">
        <v>142</v>
      </c>
      <c r="G9" s="15" t="s">
        <v>143</v>
      </c>
      <c r="H9" s="428"/>
      <c r="I9" s="13" t="s">
        <v>145</v>
      </c>
      <c r="J9" s="15" t="s">
        <v>140</v>
      </c>
      <c r="K9" s="14" t="s">
        <v>145</v>
      </c>
      <c r="L9" s="15" t="s">
        <v>140</v>
      </c>
      <c r="M9" s="13" t="s">
        <v>142</v>
      </c>
      <c r="N9" s="15" t="s">
        <v>143</v>
      </c>
      <c r="O9" s="13" t="s">
        <v>142</v>
      </c>
      <c r="P9" s="15" t="s">
        <v>143</v>
      </c>
      <c r="Q9" s="422"/>
      <c r="R9" s="13" t="s">
        <v>142</v>
      </c>
      <c r="S9" s="15" t="s">
        <v>143</v>
      </c>
      <c r="T9" s="13" t="s">
        <v>142</v>
      </c>
      <c r="U9" s="15" t="s">
        <v>143</v>
      </c>
      <c r="V9" s="13" t="s">
        <v>142</v>
      </c>
      <c r="W9" s="15" t="s">
        <v>143</v>
      </c>
    </row>
    <row r="10" spans="2:25" x14ac:dyDescent="0.25">
      <c r="B10" s="95" t="s">
        <v>118</v>
      </c>
      <c r="C10" s="189">
        <f>'CR Path Generator'!C26</f>
        <v>0.15</v>
      </c>
      <c r="D10" s="190">
        <f>'CR Path Generator'!C24</f>
        <v>0.4</v>
      </c>
      <c r="E10" s="190">
        <f>'CR Path Generator'!C25</f>
        <v>0.6</v>
      </c>
      <c r="F10" s="80">
        <f>$E10/(1+VLOOKUP($B$5,$H$21:$J$64,2,FALSE))</f>
        <v>0.55401558617349578</v>
      </c>
      <c r="G10" s="75">
        <f>$E10/(1+VLOOKUP($B$5,$H$21:$J$64,3,FALSE))</f>
        <v>0.83469945424851322</v>
      </c>
      <c r="H10" s="81">
        <f>VLOOKUP($B$5,$H$21:$K$64,4,FALSE)</f>
        <v>0.63330078124999878</v>
      </c>
      <c r="I10" s="40">
        <f>1-_xlfn.NORM.DIST(F10,H10,$I$2,1)</f>
        <v>0.60421944954380091</v>
      </c>
      <c r="J10" s="41">
        <f>MIN(F10*I10+0.5*H10*ERF(H10/(SQRT(2)*$I$2))+($I$2/SQRT(2*PI()))*EXP(-(H10^2/(2*$I$2^2)))-0.5*H10*ERF((H10-F10)/(SQRT(2)*$I$2))-($I$2/SQRT(2*PI()))*EXP(-((H10-F10)^2/(2*$I$2^2))),H10)</f>
        <v>0.47170229859863277</v>
      </c>
      <c r="K10" s="42">
        <f>1-_xlfn.NORM.DIST(G10,H10,$I$2,1)</f>
        <v>0.25100551076310085</v>
      </c>
      <c r="L10" s="41">
        <f>MIN(G10*K10+0.5*H10*ERF(H10/(SQRT(2)*$I$2))+($I$2/SQRT(2*PI()))*EXP(-(H10^2/(2*$I$2^2)))-0.5*H10*ERF((H10-G10)/(SQRT(2)*$I$2))-($I$2/SQRT(2*PI()))*EXP(-((H10-G10)^2/(2*$I$2^2))),H10)</f>
        <v>0.59019932097611116</v>
      </c>
      <c r="M10" s="74">
        <f>MAX(0,(F10-J10)/F10)</f>
        <v>0.14857576145716184</v>
      </c>
      <c r="N10" s="75">
        <f>MAX(0,(G10-L10)/G10)</f>
        <v>0.29291996302133388</v>
      </c>
      <c r="O10" s="82">
        <f>MIN(1,(1-D10)*M10+0.05)</f>
        <v>0.13914545687429711</v>
      </c>
      <c r="P10" s="41">
        <f>MIN(1,(1-D10*0.75)*N10+0.05)</f>
        <v>0.25504397411493374</v>
      </c>
      <c r="Q10" s="43">
        <f>E10-(((C10-0.05)*E10)/(1-D10))</f>
        <v>0.5</v>
      </c>
      <c r="R10" s="74">
        <f>MAX(0,(F10-Q10)/F10)</f>
        <v>9.7498315068306099E-2</v>
      </c>
      <c r="S10" s="75">
        <f>MAX(0,(G10-Q10)/G10)</f>
        <v>0.40098199722658967</v>
      </c>
      <c r="T10" s="82">
        <f>MIN(1,(1-D10)*R10+0.05)</f>
        <v>0.10849898904098365</v>
      </c>
      <c r="U10" s="41">
        <f>MIN(1,(1-D10*0.75)*S10+0.05)</f>
        <v>0.33068739805861275</v>
      </c>
      <c r="V10" s="83">
        <f>MAX(0,MIN(1,VLOOKUP($B$5,$H$21:$M$64,5,FALSE)*O10+VLOOKUP($B$5,$H$21:$M$64,6,FALSE)*T10))</f>
        <v>0.13914545687429711</v>
      </c>
      <c r="W10" s="84">
        <f>MIN(1,MAX(C10,VLOOKUP($B$5,$H$21:$M$64,5,FALSE)*P10+VLOOKUP($B$5,$H$21:$M$64,6,FALSE)*U10))</f>
        <v>0.25504397411493374</v>
      </c>
    </row>
    <row r="11" spans="2:25" x14ac:dyDescent="0.25">
      <c r="B11" s="96" t="s">
        <v>24</v>
      </c>
      <c r="C11" s="54">
        <f>C10</f>
        <v>0.15</v>
      </c>
      <c r="D11" s="55">
        <f t="shared" ref="D11:D15" si="0">D10</f>
        <v>0.4</v>
      </c>
      <c r="E11" s="55">
        <f t="shared" ref="E11:E15" si="1">E10</f>
        <v>0.6</v>
      </c>
      <c r="F11" s="57">
        <f>$E10/(1+VLOOKUP($B$5,$H$21:$O$64,7,FALSE))</f>
        <v>0.55840750524570903</v>
      </c>
      <c r="G11" s="58">
        <f>$E10/(1+VLOOKUP($B$5,$H$21:$O$64,8,FALSE))</f>
        <v>0.8693005564645514</v>
      </c>
      <c r="H11" s="86">
        <f>VLOOKUP($B$5,$H$21:$P$64,9,FALSE)</f>
        <v>0.65820312499999878</v>
      </c>
      <c r="I11" s="59">
        <f t="shared" ref="I11" si="2">1-_xlfn.NORM.DIST(F11,H11,$I$2,1)</f>
        <v>0.63030153172105208</v>
      </c>
      <c r="J11" s="60">
        <f t="shared" ref="J11" si="3">MIN(F11*I11+0.5*H11*ERF(H11/(SQRT(2)*$I$2))+($I$2/SQRT(2*PI()))*EXP(-(H11^2/(2*$I$2^2)))-0.5*H11*ERF((H11-F11)/(SQRT(2)*$I$2))-($I$2/SQRT(2*PI()))*EXP(-((H11-F11)^2/(2*$I$2^2))),H11)</f>
        <v>0.48355241516027675</v>
      </c>
      <c r="K11" s="61">
        <f t="shared" ref="K11" si="4">1-_xlfn.NORM.DIST(G11,H11,$I$2,1)</f>
        <v>0.24082285835459794</v>
      </c>
      <c r="L11" s="60">
        <f t="shared" ref="L11" si="5">MIN(G11*K11+0.5*H11*ERF(H11/(SQRT(2)*$I$2))+($I$2/SQRT(2*PI()))*EXP(-(H11^2/(2*$I$2^2)))-0.5*H11*ERF((H11-G11)/(SQRT(2)*$I$2))-($I$2/SQRT(2*PI()))*EXP(-((H11-G11)^2/(2*$I$2^2))),H11)</f>
        <v>0.61709550123378054</v>
      </c>
      <c r="M11" s="56">
        <f t="shared" ref="M11" si="6">MAX(0,(F11-J11)/F11)</f>
        <v>0.13405101002805245</v>
      </c>
      <c r="N11" s="58">
        <f t="shared" ref="N11" si="7">MAX(0,(G11-L11)/G11)</f>
        <v>0.29012411571032437</v>
      </c>
      <c r="O11" s="62">
        <f t="shared" ref="O11" si="8">MIN(1,(1-D11)*M11+0.05)</f>
        <v>0.13043060601683149</v>
      </c>
      <c r="P11" s="60">
        <f t="shared" ref="P11" si="9">MIN(1,(1-D11*0.75)*N11+0.05)</f>
        <v>0.25308688099722704</v>
      </c>
      <c r="Q11" s="63">
        <f t="shared" ref="Q11" si="10">E11-(((C11-0.05)*E11)/(1-D11))</f>
        <v>0.5</v>
      </c>
      <c r="R11" s="56">
        <f t="shared" ref="R11" si="11">MAX(0,(F11-Q11)/F11)</f>
        <v>0.10459656200360114</v>
      </c>
      <c r="S11" s="58">
        <f t="shared" ref="S11" si="12">MAX(0,(G11-Q11)/G11)</f>
        <v>0.42482493968081436</v>
      </c>
      <c r="T11" s="62">
        <f t="shared" ref="T11" si="13">MIN(1,(1-D11)*R11+0.05)</f>
        <v>0.11275793720216068</v>
      </c>
      <c r="U11" s="60">
        <f t="shared" ref="U11" si="14">MIN(1,(1-D11*0.75)*S11+0.05)</f>
        <v>0.34737745777657003</v>
      </c>
      <c r="V11" s="64">
        <f>MAX(0,MIN(1,VLOOKUP($B$5,$H$21:$R$64,10,FALSE)*O11+VLOOKUP($B$5,$H$21:$R$64,11,FALSE)*T11))</f>
        <v>0.13043060601683149</v>
      </c>
      <c r="W11" s="65">
        <f>MIN(1,MAX(C10,VLOOKUP($B$5,$H$21:$R$64,10,FALSE)*P11+VLOOKUP($B$5,$H$21:$R$64,11,FALSE)*U11))</f>
        <v>0.25308688099722704</v>
      </c>
    </row>
    <row r="12" spans="2:25" x14ac:dyDescent="0.25">
      <c r="B12" s="96" t="s">
        <v>25</v>
      </c>
      <c r="C12" s="35">
        <f t="shared" ref="C12:C15" si="15">C11</f>
        <v>0.15</v>
      </c>
      <c r="D12" s="36">
        <f t="shared" si="0"/>
        <v>0.4</v>
      </c>
      <c r="E12" s="36">
        <f t="shared" si="1"/>
        <v>0.6</v>
      </c>
      <c r="F12" s="38" t="s">
        <v>151</v>
      </c>
      <c r="G12" s="39" t="s">
        <v>151</v>
      </c>
      <c r="H12" s="85" t="s">
        <v>151</v>
      </c>
      <c r="I12" s="48" t="s">
        <v>151</v>
      </c>
      <c r="J12" s="89" t="s">
        <v>151</v>
      </c>
      <c r="K12" s="49" t="s">
        <v>151</v>
      </c>
      <c r="L12" s="89" t="s">
        <v>151</v>
      </c>
      <c r="M12" s="90" t="s">
        <v>151</v>
      </c>
      <c r="N12" s="89" t="s">
        <v>151</v>
      </c>
      <c r="O12" s="90" t="s">
        <v>151</v>
      </c>
      <c r="P12" s="89" t="s">
        <v>151</v>
      </c>
      <c r="Q12" s="91" t="s">
        <v>151</v>
      </c>
      <c r="R12" s="90" t="s">
        <v>151</v>
      </c>
      <c r="S12" s="89" t="s">
        <v>151</v>
      </c>
      <c r="T12" s="90" t="s">
        <v>151</v>
      </c>
      <c r="U12" s="89" t="s">
        <v>151</v>
      </c>
      <c r="V12" s="45">
        <f>C12</f>
        <v>0.15</v>
      </c>
      <c r="W12" s="46">
        <f>MIN(1,1.15*C12)</f>
        <v>0.17249999999999999</v>
      </c>
    </row>
    <row r="13" spans="2:25" x14ac:dyDescent="0.25">
      <c r="B13" s="96" t="s">
        <v>119</v>
      </c>
      <c r="C13" s="35">
        <f t="shared" si="15"/>
        <v>0.15</v>
      </c>
      <c r="D13" s="36">
        <f t="shared" si="0"/>
        <v>0.4</v>
      </c>
      <c r="E13" s="36">
        <f t="shared" si="1"/>
        <v>0.6</v>
      </c>
      <c r="F13" s="38" t="s">
        <v>151</v>
      </c>
      <c r="G13" s="39" t="s">
        <v>151</v>
      </c>
      <c r="H13" s="85" t="s">
        <v>151</v>
      </c>
      <c r="I13" s="48" t="s">
        <v>151</v>
      </c>
      <c r="J13" s="89" t="s">
        <v>151</v>
      </c>
      <c r="K13" s="49" t="s">
        <v>151</v>
      </c>
      <c r="L13" s="89" t="s">
        <v>151</v>
      </c>
      <c r="M13" s="90" t="s">
        <v>151</v>
      </c>
      <c r="N13" s="89" t="s">
        <v>151</v>
      </c>
      <c r="O13" s="90" t="s">
        <v>151</v>
      </c>
      <c r="P13" s="89" t="s">
        <v>151</v>
      </c>
      <c r="Q13" s="91" t="s">
        <v>151</v>
      </c>
      <c r="R13" s="90" t="s">
        <v>151</v>
      </c>
      <c r="S13" s="89" t="s">
        <v>151</v>
      </c>
      <c r="T13" s="90" t="s">
        <v>151</v>
      </c>
      <c r="U13" s="89" t="s">
        <v>151</v>
      </c>
      <c r="V13" s="45">
        <f t="shared" ref="V13:V14" si="16">C13</f>
        <v>0.15</v>
      </c>
      <c r="W13" s="46">
        <f>MIN(1,1.15*C13)</f>
        <v>0.17249999999999999</v>
      </c>
    </row>
    <row r="14" spans="2:25" x14ac:dyDescent="0.25">
      <c r="B14" s="96" t="s">
        <v>120</v>
      </c>
      <c r="C14" s="35">
        <f t="shared" si="15"/>
        <v>0.15</v>
      </c>
      <c r="D14" s="36">
        <f t="shared" si="0"/>
        <v>0.4</v>
      </c>
      <c r="E14" s="36">
        <f t="shared" si="1"/>
        <v>0.6</v>
      </c>
      <c r="F14" s="38" t="s">
        <v>151</v>
      </c>
      <c r="G14" s="39" t="s">
        <v>151</v>
      </c>
      <c r="H14" s="85" t="s">
        <v>151</v>
      </c>
      <c r="I14" s="48" t="s">
        <v>151</v>
      </c>
      <c r="J14" s="89" t="s">
        <v>151</v>
      </c>
      <c r="K14" s="49" t="s">
        <v>151</v>
      </c>
      <c r="L14" s="89" t="s">
        <v>151</v>
      </c>
      <c r="M14" s="90" t="s">
        <v>151</v>
      </c>
      <c r="N14" s="89" t="s">
        <v>151</v>
      </c>
      <c r="O14" s="90" t="s">
        <v>151</v>
      </c>
      <c r="P14" s="89" t="s">
        <v>151</v>
      </c>
      <c r="Q14" s="91" t="s">
        <v>151</v>
      </c>
      <c r="R14" s="90" t="s">
        <v>151</v>
      </c>
      <c r="S14" s="89" t="s">
        <v>151</v>
      </c>
      <c r="T14" s="90" t="s">
        <v>151</v>
      </c>
      <c r="U14" s="89" t="s">
        <v>151</v>
      </c>
      <c r="V14" s="45">
        <f t="shared" si="16"/>
        <v>0.15</v>
      </c>
      <c r="W14" s="46">
        <f>MIN(1,1.15*C14)</f>
        <v>0.17249999999999999</v>
      </c>
    </row>
    <row r="15" spans="2:25" x14ac:dyDescent="0.25">
      <c r="B15" s="97" t="s">
        <v>150</v>
      </c>
      <c r="C15" s="54">
        <f t="shared" si="15"/>
        <v>0.15</v>
      </c>
      <c r="D15" s="55">
        <f t="shared" si="0"/>
        <v>0.4</v>
      </c>
      <c r="E15" s="55">
        <f t="shared" si="1"/>
        <v>0.6</v>
      </c>
      <c r="F15" s="57" t="s">
        <v>151</v>
      </c>
      <c r="G15" s="58" t="s">
        <v>151</v>
      </c>
      <c r="H15" s="86" t="s">
        <v>151</v>
      </c>
      <c r="I15" s="59" t="s">
        <v>151</v>
      </c>
      <c r="J15" s="92" t="s">
        <v>151</v>
      </c>
      <c r="K15" s="61" t="s">
        <v>151</v>
      </c>
      <c r="L15" s="92" t="s">
        <v>151</v>
      </c>
      <c r="M15" s="93" t="s">
        <v>151</v>
      </c>
      <c r="N15" s="92" t="s">
        <v>151</v>
      </c>
      <c r="O15" s="93" t="s">
        <v>151</v>
      </c>
      <c r="P15" s="92" t="s">
        <v>151</v>
      </c>
      <c r="Q15" s="94" t="s">
        <v>151</v>
      </c>
      <c r="R15" s="93" t="s">
        <v>151</v>
      </c>
      <c r="S15" s="92" t="s">
        <v>151</v>
      </c>
      <c r="T15" s="93" t="s">
        <v>151</v>
      </c>
      <c r="U15" s="92" t="s">
        <v>151</v>
      </c>
      <c r="V15" s="64">
        <v>0.4</v>
      </c>
      <c r="W15" s="65">
        <v>0.4</v>
      </c>
    </row>
    <row r="16" spans="2:25" x14ac:dyDescent="0.25">
      <c r="B16" s="98" t="s">
        <v>153</v>
      </c>
      <c r="C16" s="54">
        <f t="shared" ref="C16" si="17">C15</f>
        <v>0.15</v>
      </c>
      <c r="D16" s="55">
        <f t="shared" ref="D16" si="18">D15</f>
        <v>0.4</v>
      </c>
      <c r="E16" s="55">
        <f t="shared" ref="E16" si="19">E15</f>
        <v>0.6</v>
      </c>
      <c r="F16" s="57" t="s">
        <v>151</v>
      </c>
      <c r="G16" s="58" t="s">
        <v>151</v>
      </c>
      <c r="H16" s="86" t="s">
        <v>151</v>
      </c>
      <c r="I16" s="59" t="s">
        <v>151</v>
      </c>
      <c r="J16" s="92" t="s">
        <v>151</v>
      </c>
      <c r="K16" s="61" t="s">
        <v>151</v>
      </c>
      <c r="L16" s="92" t="s">
        <v>151</v>
      </c>
      <c r="M16" s="93" t="s">
        <v>151</v>
      </c>
      <c r="N16" s="92" t="s">
        <v>151</v>
      </c>
      <c r="O16" s="93" t="s">
        <v>151</v>
      </c>
      <c r="P16" s="92" t="s">
        <v>151</v>
      </c>
      <c r="Q16" s="94" t="s">
        <v>151</v>
      </c>
      <c r="R16" s="93" t="s">
        <v>151</v>
      </c>
      <c r="S16" s="92" t="s">
        <v>151</v>
      </c>
      <c r="T16" s="93" t="s">
        <v>151</v>
      </c>
      <c r="U16" s="92" t="s">
        <v>151</v>
      </c>
      <c r="V16" s="88">
        <f>VLOOKUP($B$6,$B$10:$W$15,21,FALSE)</f>
        <v>0.13043060601683149</v>
      </c>
      <c r="W16" s="87">
        <f>VLOOKUP($B$6,$B$10:$W$15,22,FALSE)</f>
        <v>0.25308688099722704</v>
      </c>
      <c r="X16" s="26">
        <f>V16/C16</f>
        <v>0.86953737344554327</v>
      </c>
      <c r="Y16" s="28">
        <f>W16/C16</f>
        <v>1.687245873314847</v>
      </c>
    </row>
    <row r="18" spans="2:20" x14ac:dyDescent="0.25">
      <c r="B18" s="69"/>
      <c r="I18" s="408" t="s">
        <v>148</v>
      </c>
      <c r="J18" s="409"/>
      <c r="K18" s="409"/>
      <c r="L18" s="409"/>
      <c r="M18" s="410"/>
      <c r="N18" s="408" t="s">
        <v>149</v>
      </c>
      <c r="O18" s="409"/>
      <c r="P18" s="409"/>
      <c r="Q18" s="409"/>
      <c r="R18" s="410"/>
      <c r="T18" t="s">
        <v>406</v>
      </c>
    </row>
    <row r="19" spans="2:20" x14ac:dyDescent="0.25">
      <c r="B19" s="69"/>
      <c r="I19" s="429" t="s">
        <v>154</v>
      </c>
      <c r="J19" s="430"/>
      <c r="K19" s="427" t="s">
        <v>136</v>
      </c>
      <c r="L19" s="411" t="s">
        <v>141</v>
      </c>
      <c r="M19" s="413"/>
      <c r="N19" s="429" t="s">
        <v>155</v>
      </c>
      <c r="O19" s="430"/>
      <c r="P19" s="427" t="s">
        <v>136</v>
      </c>
      <c r="Q19" s="411" t="s">
        <v>141</v>
      </c>
      <c r="R19" s="413"/>
    </row>
    <row r="20" spans="2:20" x14ac:dyDescent="0.25">
      <c r="B20" s="69"/>
      <c r="I20" s="32" t="s">
        <v>142</v>
      </c>
      <c r="J20" s="33" t="s">
        <v>143</v>
      </c>
      <c r="K20" s="428"/>
      <c r="L20" s="16" t="s">
        <v>146</v>
      </c>
      <c r="M20" s="17" t="s">
        <v>147</v>
      </c>
      <c r="N20" s="32" t="s">
        <v>142</v>
      </c>
      <c r="O20" s="33" t="s">
        <v>143</v>
      </c>
      <c r="P20" s="428"/>
      <c r="Q20" s="16" t="s">
        <v>146</v>
      </c>
      <c r="R20" s="17" t="s">
        <v>147</v>
      </c>
      <c r="T20" t="s">
        <v>307</v>
      </c>
    </row>
    <row r="21" spans="2:20" x14ac:dyDescent="0.25">
      <c r="B21" s="69"/>
      <c r="G21" t="s">
        <v>30</v>
      </c>
      <c r="H21" s="34" t="s">
        <v>29</v>
      </c>
      <c r="I21" s="74">
        <v>5.8406039130669107E-2</v>
      </c>
      <c r="J21" s="75">
        <v>-0.28884779382151193</v>
      </c>
      <c r="K21" s="76">
        <v>0.53876953124999871</v>
      </c>
      <c r="L21" s="44">
        <v>1</v>
      </c>
      <c r="M21" s="44">
        <v>0</v>
      </c>
      <c r="N21" s="74">
        <v>4.8003655276378066E-2</v>
      </c>
      <c r="O21" s="75">
        <v>-0.26884278459279587</v>
      </c>
      <c r="P21" s="76">
        <v>0.63017578124999873</v>
      </c>
      <c r="Q21" s="79">
        <v>1</v>
      </c>
      <c r="R21" s="67">
        <v>0</v>
      </c>
      <c r="T21" t="s">
        <v>407</v>
      </c>
    </row>
    <row r="22" spans="2:20" x14ac:dyDescent="0.25">
      <c r="B22" s="69"/>
      <c r="G22" t="s">
        <v>32</v>
      </c>
      <c r="H22" s="47" t="s">
        <v>31</v>
      </c>
      <c r="I22" s="37">
        <v>0.3222697391275049</v>
      </c>
      <c r="J22" s="39">
        <v>-5.1660647312816721E-3</v>
      </c>
      <c r="K22" s="77">
        <v>0.63330078124999878</v>
      </c>
      <c r="L22" s="44">
        <v>1</v>
      </c>
      <c r="M22" s="44">
        <v>0</v>
      </c>
      <c r="N22" s="37">
        <v>0.28919753001395887</v>
      </c>
      <c r="O22" s="39">
        <v>-4.3311834826350593E-2</v>
      </c>
      <c r="P22" s="77">
        <v>0.65820312499999878</v>
      </c>
      <c r="Q22" s="44">
        <v>1</v>
      </c>
      <c r="R22" s="68">
        <v>0</v>
      </c>
    </row>
    <row r="23" spans="2:20" x14ac:dyDescent="0.25">
      <c r="B23" s="69"/>
      <c r="G23" t="s">
        <v>34</v>
      </c>
      <c r="H23" s="47" t="s">
        <v>33</v>
      </c>
      <c r="I23" s="37">
        <v>0.31249920901329697</v>
      </c>
      <c r="J23" s="39">
        <v>-5.8990028111744031E-2</v>
      </c>
      <c r="K23" s="77">
        <v>0.67871093749999889</v>
      </c>
      <c r="L23" s="44">
        <v>1</v>
      </c>
      <c r="M23" s="44">
        <v>0</v>
      </c>
      <c r="N23" s="37">
        <v>0.29040332922222722</v>
      </c>
      <c r="O23" s="39">
        <v>-9.3531120406841417E-2</v>
      </c>
      <c r="P23" s="77">
        <v>0.6890624999999988</v>
      </c>
      <c r="Q23" s="44">
        <v>1</v>
      </c>
      <c r="R23" s="68">
        <v>0</v>
      </c>
      <c r="T23" t="s">
        <v>309</v>
      </c>
    </row>
    <row r="24" spans="2:20" x14ac:dyDescent="0.25">
      <c r="B24" s="69"/>
      <c r="G24" t="s">
        <v>36</v>
      </c>
      <c r="H24" s="47" t="s">
        <v>35</v>
      </c>
      <c r="I24" s="37">
        <v>8.3002021918032742E-2</v>
      </c>
      <c r="J24" s="39">
        <v>-0.28117839667190758</v>
      </c>
      <c r="K24" s="77">
        <v>0.63330078124999878</v>
      </c>
      <c r="L24" s="44">
        <v>1</v>
      </c>
      <c r="M24" s="44">
        <v>0</v>
      </c>
      <c r="N24" s="37">
        <v>7.4484125595678519E-2</v>
      </c>
      <c r="O24" s="39">
        <v>-0.30978992761697721</v>
      </c>
      <c r="P24" s="77">
        <v>0.65820312499999878</v>
      </c>
      <c r="Q24" s="44">
        <v>1</v>
      </c>
      <c r="R24" s="68">
        <v>0</v>
      </c>
      <c r="T24" t="s">
        <v>310</v>
      </c>
    </row>
    <row r="25" spans="2:20" x14ac:dyDescent="0.25">
      <c r="B25" s="69"/>
      <c r="G25" t="s">
        <v>38</v>
      </c>
      <c r="H25" s="47" t="s">
        <v>37</v>
      </c>
      <c r="I25" s="37">
        <v>0.13147646833087245</v>
      </c>
      <c r="J25" s="39">
        <v>-0.17288558543154686</v>
      </c>
      <c r="K25" s="77">
        <v>0.70966796874999882</v>
      </c>
      <c r="L25" s="44">
        <v>1</v>
      </c>
      <c r="M25" s="44">
        <v>0</v>
      </c>
      <c r="N25" s="37">
        <v>0.11975311567047431</v>
      </c>
      <c r="O25" s="39">
        <v>-0.19106250251755885</v>
      </c>
      <c r="P25" s="77">
        <v>0.69277343749999887</v>
      </c>
      <c r="Q25" s="44">
        <v>1</v>
      </c>
      <c r="R25" s="68">
        <v>0</v>
      </c>
    </row>
    <row r="26" spans="2:20" x14ac:dyDescent="0.25">
      <c r="B26" s="69"/>
      <c r="G26" t="s">
        <v>40</v>
      </c>
      <c r="H26" s="47" t="s">
        <v>39</v>
      </c>
      <c r="I26" s="37">
        <v>0.20061162811423583</v>
      </c>
      <c r="J26" s="39">
        <v>-0.37595044663040278</v>
      </c>
      <c r="K26" s="77">
        <v>0.63330078124999878</v>
      </c>
      <c r="L26" s="44">
        <v>1</v>
      </c>
      <c r="M26" s="44">
        <v>0</v>
      </c>
      <c r="N26" s="37">
        <v>0.18272370570487162</v>
      </c>
      <c r="O26" s="39">
        <v>-0.34790981175259028</v>
      </c>
      <c r="P26" s="77">
        <v>0.65820312499999878</v>
      </c>
      <c r="Q26" s="44">
        <v>1</v>
      </c>
      <c r="R26" s="68">
        <v>0</v>
      </c>
      <c r="T26" t="s">
        <v>408</v>
      </c>
    </row>
    <row r="27" spans="2:20" x14ac:dyDescent="0.25">
      <c r="G27" t="s">
        <v>42</v>
      </c>
      <c r="H27" s="47" t="s">
        <v>41</v>
      </c>
      <c r="I27" s="37">
        <v>0.18416329305616697</v>
      </c>
      <c r="J27" s="39">
        <v>-5.0719436734475987E-2</v>
      </c>
      <c r="K27" s="77">
        <v>0.72207031249999887</v>
      </c>
      <c r="L27" s="44">
        <v>1</v>
      </c>
      <c r="M27" s="44">
        <v>0</v>
      </c>
      <c r="N27" s="37">
        <v>0.17265250587254433</v>
      </c>
      <c r="O27" s="39">
        <v>-8.2728887003374108E-2</v>
      </c>
      <c r="P27" s="77">
        <v>0.70058593749999887</v>
      </c>
      <c r="Q27" s="44">
        <v>1</v>
      </c>
      <c r="R27" s="68">
        <v>0</v>
      </c>
      <c r="T27" t="s">
        <v>409</v>
      </c>
    </row>
    <row r="28" spans="2:20" x14ac:dyDescent="0.25">
      <c r="G28" t="s">
        <v>44</v>
      </c>
      <c r="H28" s="47" t="s">
        <v>43</v>
      </c>
      <c r="I28" s="37">
        <v>9.9747805581902327E-3</v>
      </c>
      <c r="J28" s="39">
        <v>-0.16597193074334871</v>
      </c>
      <c r="K28" s="77">
        <v>0.75</v>
      </c>
      <c r="L28" s="44">
        <v>1</v>
      </c>
      <c r="M28" s="44">
        <v>0</v>
      </c>
      <c r="N28" s="37">
        <v>9.0853600278222313E-3</v>
      </c>
      <c r="O28" s="39">
        <v>-0.16632801213306214</v>
      </c>
      <c r="P28" s="77">
        <v>0.75</v>
      </c>
      <c r="Q28" s="44">
        <v>1</v>
      </c>
      <c r="R28" s="68">
        <v>0</v>
      </c>
      <c r="T28" t="s">
        <v>410</v>
      </c>
    </row>
    <row r="29" spans="2:20" x14ac:dyDescent="0.25">
      <c r="G29" t="s">
        <v>46</v>
      </c>
      <c r="H29" s="47" t="s">
        <v>45</v>
      </c>
      <c r="I29" s="37">
        <v>0.15499639255244424</v>
      </c>
      <c r="J29" s="39">
        <v>-0.14334811490606469</v>
      </c>
      <c r="K29" s="77">
        <v>0.47441406249999862</v>
      </c>
      <c r="L29" s="44">
        <v>1</v>
      </c>
      <c r="M29" s="44">
        <v>0</v>
      </c>
      <c r="N29" s="37">
        <v>0.13669960605797615</v>
      </c>
      <c r="O29" s="39">
        <v>-0.16052735536433216</v>
      </c>
      <c r="P29" s="77">
        <v>0.44863281249999853</v>
      </c>
      <c r="Q29" s="44">
        <v>1</v>
      </c>
      <c r="R29" s="68">
        <v>0</v>
      </c>
      <c r="T29" t="s">
        <v>411</v>
      </c>
    </row>
    <row r="30" spans="2:20" x14ac:dyDescent="0.25">
      <c r="G30" t="s">
        <v>48</v>
      </c>
      <c r="H30" s="47" t="s">
        <v>47</v>
      </c>
      <c r="I30" s="37">
        <v>0.11394568477126898</v>
      </c>
      <c r="J30" s="39">
        <v>-0.16860927930579084</v>
      </c>
      <c r="K30" s="77">
        <v>0.64160156249999878</v>
      </c>
      <c r="L30" s="44">
        <v>1</v>
      </c>
      <c r="M30" s="44">
        <v>0</v>
      </c>
      <c r="N30" s="37">
        <v>0.10268971760093315</v>
      </c>
      <c r="O30" s="39">
        <v>-0.20022948038055521</v>
      </c>
      <c r="P30" s="77">
        <v>0.75419921874999885</v>
      </c>
      <c r="Q30" s="44">
        <v>1</v>
      </c>
      <c r="R30" s="68">
        <v>0</v>
      </c>
      <c r="T30" t="s">
        <v>412</v>
      </c>
    </row>
    <row r="31" spans="2:20" x14ac:dyDescent="0.25">
      <c r="G31" t="s">
        <v>50</v>
      </c>
      <c r="H31" s="47" t="s">
        <v>49</v>
      </c>
      <c r="I31" s="37">
        <v>6.1077118351501536E-2</v>
      </c>
      <c r="J31" s="39">
        <v>-0.12093295277767369</v>
      </c>
      <c r="K31" s="77">
        <v>0.65986328124999882</v>
      </c>
      <c r="L31" s="44">
        <v>1</v>
      </c>
      <c r="M31" s="44">
        <v>0</v>
      </c>
      <c r="N31" s="37">
        <v>5.4809216079192868E-2</v>
      </c>
      <c r="O31" s="39">
        <v>-0.14016675623887809</v>
      </c>
      <c r="P31" s="77">
        <v>0.77812499999999885</v>
      </c>
      <c r="Q31" s="44">
        <v>1</v>
      </c>
      <c r="R31" s="68">
        <v>0</v>
      </c>
      <c r="T31" t="s">
        <v>413</v>
      </c>
    </row>
    <row r="32" spans="2:20" x14ac:dyDescent="0.25">
      <c r="G32" t="s">
        <v>52</v>
      </c>
      <c r="H32" s="47" t="s">
        <v>51</v>
      </c>
      <c r="I32" s="37">
        <v>6.516510382925822E-2</v>
      </c>
      <c r="J32" s="39">
        <v>-0.11954014502899812</v>
      </c>
      <c r="K32" s="77">
        <v>0.58037109374999873</v>
      </c>
      <c r="L32" s="44">
        <v>1</v>
      </c>
      <c r="M32" s="44">
        <v>0</v>
      </c>
      <c r="N32" s="37">
        <v>5.9354531769935104E-2</v>
      </c>
      <c r="O32" s="39">
        <v>-0.1406617535907968</v>
      </c>
      <c r="P32" s="77">
        <v>0.51923828124999871</v>
      </c>
      <c r="Q32" s="44">
        <v>1</v>
      </c>
      <c r="R32" s="68">
        <v>0</v>
      </c>
      <c r="T32" t="s">
        <v>414</v>
      </c>
    </row>
    <row r="33" spans="7:20" x14ac:dyDescent="0.25">
      <c r="G33" t="s">
        <v>54</v>
      </c>
      <c r="H33" s="47" t="s">
        <v>53</v>
      </c>
      <c r="I33" s="37">
        <v>0.10359209780926948</v>
      </c>
      <c r="J33" s="39">
        <v>-0.10212694070834938</v>
      </c>
      <c r="K33" s="77">
        <v>0.63984374999999871</v>
      </c>
      <c r="L33" s="44">
        <v>1</v>
      </c>
      <c r="M33" s="44">
        <v>0</v>
      </c>
      <c r="N33" s="37">
        <v>9.4355108780994845E-2</v>
      </c>
      <c r="O33" s="39">
        <v>-0.1537574270707619</v>
      </c>
      <c r="P33" s="77">
        <v>0.59687499999999871</v>
      </c>
      <c r="Q33" s="44">
        <v>1</v>
      </c>
      <c r="R33" s="68">
        <v>0</v>
      </c>
      <c r="T33" t="s">
        <v>415</v>
      </c>
    </row>
    <row r="34" spans="7:20" x14ac:dyDescent="0.25">
      <c r="G34" t="s">
        <v>56</v>
      </c>
      <c r="H34" s="47" t="s">
        <v>55</v>
      </c>
      <c r="I34" s="37">
        <v>0.15768210405772232</v>
      </c>
      <c r="J34" s="39">
        <v>-0.36019429931760805</v>
      </c>
      <c r="K34" s="77">
        <v>0.65654296874999873</v>
      </c>
      <c r="L34" s="44">
        <v>1</v>
      </c>
      <c r="M34" s="44">
        <v>0</v>
      </c>
      <c r="N34" s="37">
        <v>0.14362207538817984</v>
      </c>
      <c r="O34" s="39">
        <v>-0.36238554276831791</v>
      </c>
      <c r="P34" s="77">
        <v>0.65820312499999878</v>
      </c>
      <c r="Q34" s="44">
        <v>1</v>
      </c>
      <c r="R34" s="68">
        <v>0</v>
      </c>
      <c r="T34" t="s">
        <v>416</v>
      </c>
    </row>
    <row r="35" spans="7:20" x14ac:dyDescent="0.25">
      <c r="G35" t="s">
        <v>58</v>
      </c>
      <c r="H35" s="47" t="s">
        <v>57</v>
      </c>
      <c r="I35" s="37">
        <v>0.14234490603433003</v>
      </c>
      <c r="J35" s="39">
        <v>-0.29874978583658218</v>
      </c>
      <c r="K35" s="77">
        <v>0.63330078124999878</v>
      </c>
      <c r="L35" s="44">
        <v>1</v>
      </c>
      <c r="M35" s="44">
        <v>0</v>
      </c>
      <c r="N35" s="37">
        <v>0.12965244818208466</v>
      </c>
      <c r="O35" s="39">
        <v>-0.30600075892227008</v>
      </c>
      <c r="P35" s="77">
        <v>0.65820312499999878</v>
      </c>
      <c r="Q35" s="44">
        <v>1</v>
      </c>
      <c r="R35" s="68">
        <v>0</v>
      </c>
      <c r="T35" t="s">
        <v>417</v>
      </c>
    </row>
    <row r="36" spans="7:20" x14ac:dyDescent="0.25">
      <c r="G36" t="s">
        <v>60</v>
      </c>
      <c r="H36" s="47" t="s">
        <v>59</v>
      </c>
      <c r="I36" s="37">
        <v>0.20052680017659652</v>
      </c>
      <c r="J36" s="39">
        <v>-0.29771699021220477</v>
      </c>
      <c r="K36" s="77">
        <v>0.63105468749999871</v>
      </c>
      <c r="L36" s="44">
        <v>1</v>
      </c>
      <c r="M36" s="44">
        <v>0</v>
      </c>
      <c r="N36" s="37">
        <v>0.18264644161375987</v>
      </c>
      <c r="O36" s="39">
        <v>-0.2366498743129386</v>
      </c>
      <c r="P36" s="77">
        <v>0.60253906249999867</v>
      </c>
      <c r="Q36" s="44">
        <v>1</v>
      </c>
      <c r="R36" s="68">
        <v>0</v>
      </c>
      <c r="T36" t="s">
        <v>418</v>
      </c>
    </row>
    <row r="37" spans="7:20" x14ac:dyDescent="0.25">
      <c r="G37" t="s">
        <v>62</v>
      </c>
      <c r="H37" s="51" t="s">
        <v>61</v>
      </c>
      <c r="I37" s="37">
        <v>0.4281688494153022</v>
      </c>
      <c r="J37" s="39">
        <v>-4.0353594687966288E-3</v>
      </c>
      <c r="K37" s="77">
        <v>0.48037109374999865</v>
      </c>
      <c r="L37" s="44">
        <v>1</v>
      </c>
      <c r="M37" s="44">
        <v>0</v>
      </c>
      <c r="N37" s="37">
        <v>0.33023407579972508</v>
      </c>
      <c r="O37" s="39">
        <v>-4.3019376679310106E-2</v>
      </c>
      <c r="P37" s="77">
        <v>0.61308593749999885</v>
      </c>
      <c r="Q37" s="44">
        <v>1</v>
      </c>
      <c r="R37" s="68">
        <v>0</v>
      </c>
      <c r="T37" t="s">
        <v>419</v>
      </c>
    </row>
    <row r="38" spans="7:20" x14ac:dyDescent="0.25">
      <c r="G38" t="s">
        <v>64</v>
      </c>
      <c r="H38" s="51" t="s">
        <v>63</v>
      </c>
      <c r="I38" s="37">
        <v>0.12829598065496906</v>
      </c>
      <c r="J38" s="39">
        <v>-0.35162334489399283</v>
      </c>
      <c r="K38" s="77">
        <v>0.64033203124999882</v>
      </c>
      <c r="L38" s="44">
        <v>1</v>
      </c>
      <c r="M38" s="44">
        <v>0</v>
      </c>
      <c r="N38" s="37">
        <v>0.11685622230715031</v>
      </c>
      <c r="O38" s="39">
        <v>-0.2576948068948397</v>
      </c>
      <c r="P38" s="77">
        <v>0.62031249999999882</v>
      </c>
      <c r="Q38" s="44">
        <v>1</v>
      </c>
      <c r="R38" s="68">
        <v>0</v>
      </c>
      <c r="T38" t="s">
        <v>420</v>
      </c>
    </row>
    <row r="39" spans="7:20" x14ac:dyDescent="0.25">
      <c r="G39" t="s">
        <v>66</v>
      </c>
      <c r="H39" s="51" t="s">
        <v>65</v>
      </c>
      <c r="I39" s="37">
        <v>0.17077377226132673</v>
      </c>
      <c r="J39" s="39">
        <v>-0.12463986791393411</v>
      </c>
      <c r="K39" s="77">
        <v>0.82695312499999896</v>
      </c>
      <c r="L39" s="44">
        <v>1</v>
      </c>
      <c r="M39" s="44">
        <v>0</v>
      </c>
      <c r="N39" s="37">
        <v>0.15910587640576845</v>
      </c>
      <c r="O39" s="39">
        <v>-0.15093987204107107</v>
      </c>
      <c r="P39" s="77">
        <v>0.72968749999999882</v>
      </c>
      <c r="Q39" s="44">
        <v>1</v>
      </c>
      <c r="R39" s="68">
        <v>0</v>
      </c>
      <c r="T39" t="s">
        <v>421</v>
      </c>
    </row>
    <row r="40" spans="7:20" x14ac:dyDescent="0.25">
      <c r="G40" t="s">
        <v>3</v>
      </c>
      <c r="H40" s="51" t="s">
        <v>67</v>
      </c>
      <c r="I40" s="37">
        <v>0.10112548899042495</v>
      </c>
      <c r="J40" s="39">
        <v>-0.33317777637224233</v>
      </c>
      <c r="K40" s="77">
        <v>0.68037109374999882</v>
      </c>
      <c r="L40" s="44">
        <v>1</v>
      </c>
      <c r="M40" s="44">
        <v>0</v>
      </c>
      <c r="N40" s="37">
        <v>9.42162214942599E-2</v>
      </c>
      <c r="O40" s="39">
        <v>-0.26324032482784332</v>
      </c>
      <c r="P40" s="77">
        <v>0.6880859374999988</v>
      </c>
      <c r="Q40" s="44">
        <v>1</v>
      </c>
      <c r="R40" s="68">
        <v>0</v>
      </c>
    </row>
    <row r="41" spans="7:20" x14ac:dyDescent="0.25">
      <c r="G41" t="s">
        <v>69</v>
      </c>
      <c r="H41" s="51" t="s">
        <v>68</v>
      </c>
      <c r="I41" s="37">
        <v>9.8550466258612746E-2</v>
      </c>
      <c r="J41" s="39">
        <v>-7.8990273676010525E-2</v>
      </c>
      <c r="K41" s="77">
        <v>0.50214843749999871</v>
      </c>
      <c r="L41" s="44">
        <v>1</v>
      </c>
      <c r="M41" s="44">
        <v>0</v>
      </c>
      <c r="N41" s="37">
        <v>8.8436945711612758E-2</v>
      </c>
      <c r="O41" s="39">
        <v>-0.10353718238982379</v>
      </c>
      <c r="P41" s="77">
        <v>0.55947265624999876</v>
      </c>
      <c r="Q41" s="44">
        <v>1</v>
      </c>
      <c r="R41" s="68">
        <v>0</v>
      </c>
      <c r="T41" t="s">
        <v>422</v>
      </c>
    </row>
    <row r="42" spans="7:20" x14ac:dyDescent="0.25">
      <c r="G42" t="s">
        <v>71</v>
      </c>
      <c r="H42" s="51" t="s">
        <v>70</v>
      </c>
      <c r="I42" s="37">
        <v>0.12492619755114154</v>
      </c>
      <c r="J42" s="39">
        <v>-0.11324755690494959</v>
      </c>
      <c r="K42" s="77">
        <v>0.61064453124999885</v>
      </c>
      <c r="L42" s="44">
        <v>1</v>
      </c>
      <c r="M42" s="44">
        <v>0</v>
      </c>
      <c r="N42" s="37">
        <v>0.12116801903375451</v>
      </c>
      <c r="O42" s="39">
        <v>-0.14347574972225186</v>
      </c>
      <c r="P42" s="77">
        <v>0.58994140624999869</v>
      </c>
      <c r="Q42" s="44">
        <v>1</v>
      </c>
      <c r="R42" s="68">
        <v>0</v>
      </c>
      <c r="T42" t="s">
        <v>129</v>
      </c>
    </row>
    <row r="43" spans="7:20" x14ac:dyDescent="0.25">
      <c r="G43" t="s">
        <v>73</v>
      </c>
      <c r="H43" s="51" t="s">
        <v>72</v>
      </c>
      <c r="I43" s="37">
        <v>0.20350429080689758</v>
      </c>
      <c r="J43" s="39">
        <v>-8.1574636187516592E-2</v>
      </c>
      <c r="K43" s="77">
        <v>0.67617187499999887</v>
      </c>
      <c r="L43" s="44">
        <v>1</v>
      </c>
      <c r="M43" s="44">
        <v>0</v>
      </c>
      <c r="N43" s="37">
        <v>0.18262011943141832</v>
      </c>
      <c r="O43" s="39">
        <v>-0.10868182570701346</v>
      </c>
      <c r="P43" s="77">
        <v>0.65087890624999878</v>
      </c>
      <c r="Q43" s="44">
        <v>1</v>
      </c>
      <c r="R43" s="68">
        <v>0</v>
      </c>
      <c r="T43" t="s">
        <v>130</v>
      </c>
    </row>
    <row r="44" spans="7:20" x14ac:dyDescent="0.25">
      <c r="G44" t="s">
        <v>75</v>
      </c>
      <c r="H44" s="51" t="s">
        <v>74</v>
      </c>
      <c r="I44" s="37">
        <v>0.18677399615935264</v>
      </c>
      <c r="J44" s="39">
        <v>-0.11599063054406766</v>
      </c>
      <c r="K44" s="77">
        <v>0.66249999999999876</v>
      </c>
      <c r="L44" s="44">
        <v>1</v>
      </c>
      <c r="M44" s="44">
        <v>0</v>
      </c>
      <c r="N44" s="37">
        <v>0.17011993286904881</v>
      </c>
      <c r="O44" s="39">
        <v>-0.14075170043797891</v>
      </c>
      <c r="P44" s="77">
        <v>0.63789062499999882</v>
      </c>
      <c r="Q44" s="44">
        <v>1</v>
      </c>
      <c r="R44" s="68">
        <v>0</v>
      </c>
      <c r="T44" t="s">
        <v>423</v>
      </c>
    </row>
    <row r="45" spans="7:20" x14ac:dyDescent="0.25">
      <c r="G45" t="s">
        <v>77</v>
      </c>
      <c r="H45" s="51" t="s">
        <v>76</v>
      </c>
      <c r="I45" s="37">
        <v>0.10948656667409673</v>
      </c>
      <c r="J45" s="39">
        <v>-0.14019276095114919</v>
      </c>
      <c r="K45" s="77">
        <v>0.72187499999999893</v>
      </c>
      <c r="L45" s="44">
        <v>1</v>
      </c>
      <c r="M45" s="44">
        <v>0</v>
      </c>
      <c r="N45" s="37">
        <v>9.9723985970556317E-2</v>
      </c>
      <c r="O45" s="39">
        <v>-0.17345314316790605</v>
      </c>
      <c r="P45" s="77">
        <v>0.65498046874999871</v>
      </c>
      <c r="Q45" s="44">
        <v>1</v>
      </c>
      <c r="R45" s="68">
        <v>0</v>
      </c>
    </row>
    <row r="46" spans="7:20" x14ac:dyDescent="0.25">
      <c r="G46" t="s">
        <v>79</v>
      </c>
      <c r="H46" s="51" t="s">
        <v>78</v>
      </c>
      <c r="I46" s="37">
        <v>6.2981965428514863E-2</v>
      </c>
      <c r="J46" s="39">
        <v>-0.20503778515043336</v>
      </c>
      <c r="K46" s="77">
        <v>0.65400390624999882</v>
      </c>
      <c r="L46" s="44">
        <v>1</v>
      </c>
      <c r="M46" s="44">
        <v>0</v>
      </c>
      <c r="N46" s="37">
        <v>5.7366057111709834E-2</v>
      </c>
      <c r="O46" s="39">
        <v>-0.25582721681676646</v>
      </c>
      <c r="P46" s="77">
        <v>0.82929687499999893</v>
      </c>
      <c r="Q46" s="44">
        <v>1</v>
      </c>
      <c r="R46" s="68">
        <v>0</v>
      </c>
      <c r="T46" t="s">
        <v>424</v>
      </c>
    </row>
    <row r="47" spans="7:20" x14ac:dyDescent="0.25">
      <c r="G47" t="s">
        <v>81</v>
      </c>
      <c r="H47" s="51" t="s">
        <v>80</v>
      </c>
      <c r="I47" s="37">
        <v>0.16081300799999987</v>
      </c>
      <c r="J47" s="39">
        <v>-0.49403087437716797</v>
      </c>
      <c r="K47" s="77">
        <v>0.65302734374999882</v>
      </c>
      <c r="L47" s="44">
        <v>1</v>
      </c>
      <c r="M47" s="44">
        <v>0</v>
      </c>
      <c r="N47" s="37">
        <v>0.14430993376425816</v>
      </c>
      <c r="O47" s="39">
        <v>-0.42766136203891525</v>
      </c>
      <c r="P47" s="77">
        <v>0.66279296874999882</v>
      </c>
      <c r="Q47" s="44">
        <v>1</v>
      </c>
      <c r="R47" s="68">
        <v>0</v>
      </c>
      <c r="T47" t="s">
        <v>425</v>
      </c>
    </row>
    <row r="48" spans="7:20" x14ac:dyDescent="0.25">
      <c r="G48" t="s">
        <v>83</v>
      </c>
      <c r="H48" s="53" t="s">
        <v>82</v>
      </c>
      <c r="I48" s="56">
        <v>9.3068772640227504E-2</v>
      </c>
      <c r="J48" s="58">
        <v>-0.29305459917493915</v>
      </c>
      <c r="K48" s="78">
        <v>0.57714843749999867</v>
      </c>
      <c r="L48" s="44">
        <v>1</v>
      </c>
      <c r="M48" s="44">
        <v>0</v>
      </c>
      <c r="N48" s="56">
        <v>8.3517798605147631E-2</v>
      </c>
      <c r="O48" s="58">
        <v>-0.29548606222640672</v>
      </c>
      <c r="P48" s="78">
        <v>0.62783203124999876</v>
      </c>
      <c r="Q48" s="44">
        <v>1</v>
      </c>
      <c r="R48" s="68">
        <v>0</v>
      </c>
      <c r="T48" t="s">
        <v>426</v>
      </c>
    </row>
    <row r="49" spans="7:20" x14ac:dyDescent="0.25">
      <c r="G49" t="s">
        <v>84</v>
      </c>
      <c r="H49" s="70" t="s">
        <v>100</v>
      </c>
      <c r="I49" s="111">
        <v>5.5062511999999897E-2</v>
      </c>
      <c r="J49" s="112">
        <v>-0.38677235327121995</v>
      </c>
      <c r="K49" s="43">
        <f>MEDIAN($K$21:$K$48)</f>
        <v>0.6409667968749988</v>
      </c>
      <c r="L49" s="44">
        <v>1</v>
      </c>
      <c r="M49" s="44">
        <v>0</v>
      </c>
      <c r="N49" s="111">
        <v>4.9407698901685615E-2</v>
      </c>
      <c r="O49" s="112">
        <v>-0.349826437112851</v>
      </c>
      <c r="P49" s="43">
        <f>MEDIAN(P21:P48)</f>
        <v>0.65820312499999878</v>
      </c>
      <c r="Q49" s="44">
        <v>1</v>
      </c>
      <c r="R49" s="68">
        <v>0</v>
      </c>
      <c r="T49" t="s">
        <v>427</v>
      </c>
    </row>
    <row r="50" spans="7:20" x14ac:dyDescent="0.25">
      <c r="G50" t="s">
        <v>85</v>
      </c>
      <c r="H50" s="52" t="s">
        <v>101</v>
      </c>
      <c r="I50" s="90">
        <v>0.17205271806221822</v>
      </c>
      <c r="J50" s="113">
        <v>-0.19245567725513146</v>
      </c>
      <c r="K50" s="50">
        <f t="shared" ref="K50:K64" si="20">MEDIAN($K$21:$K$48)</f>
        <v>0.6409667968749988</v>
      </c>
      <c r="L50" s="44">
        <v>1</v>
      </c>
      <c r="M50" s="44">
        <v>0</v>
      </c>
      <c r="N50" s="90">
        <v>0.15439619379247782</v>
      </c>
      <c r="O50" s="113">
        <v>-0.17270534506290347</v>
      </c>
      <c r="P50" s="50">
        <f t="shared" ref="P50:P64" si="21">MEDIAN(P22:P49)</f>
        <v>0.65820312499999878</v>
      </c>
      <c r="Q50" s="44">
        <v>1</v>
      </c>
      <c r="R50" s="68">
        <v>0</v>
      </c>
    </row>
    <row r="51" spans="7:20" x14ac:dyDescent="0.25">
      <c r="G51" t="s">
        <v>86</v>
      </c>
      <c r="H51" s="52" t="s">
        <v>102</v>
      </c>
      <c r="I51" s="90">
        <v>0</v>
      </c>
      <c r="J51" s="113">
        <v>-0.27435672225408092</v>
      </c>
      <c r="K51" s="50">
        <f t="shared" si="20"/>
        <v>0.6409667968749988</v>
      </c>
      <c r="L51" s="44">
        <v>1</v>
      </c>
      <c r="M51" s="44">
        <v>0</v>
      </c>
      <c r="N51" s="90">
        <v>0</v>
      </c>
      <c r="O51" s="113">
        <v>-0.24620147902628231</v>
      </c>
      <c r="P51" s="50">
        <f t="shared" si="21"/>
        <v>0.65820312499999878</v>
      </c>
      <c r="Q51" s="44">
        <v>1</v>
      </c>
      <c r="R51" s="68">
        <v>0</v>
      </c>
      <c r="T51" t="s">
        <v>428</v>
      </c>
    </row>
    <row r="52" spans="7:20" x14ac:dyDescent="0.25">
      <c r="G52" t="s">
        <v>87</v>
      </c>
      <c r="H52" s="52" t="s">
        <v>103</v>
      </c>
      <c r="I52" s="90">
        <v>0</v>
      </c>
      <c r="J52" s="113">
        <v>-0.27435672225408092</v>
      </c>
      <c r="K52" s="50">
        <f t="shared" si="20"/>
        <v>0.6409667968749988</v>
      </c>
      <c r="L52" s="44">
        <v>1</v>
      </c>
      <c r="M52" s="44">
        <v>0</v>
      </c>
      <c r="N52" s="90">
        <v>0</v>
      </c>
      <c r="O52" s="113">
        <v>-0.24620147902628231</v>
      </c>
      <c r="P52" s="50">
        <f t="shared" si="21"/>
        <v>0.65820312499999878</v>
      </c>
      <c r="Q52" s="44">
        <v>1</v>
      </c>
      <c r="R52" s="68">
        <v>0</v>
      </c>
      <c r="T52" t="s">
        <v>429</v>
      </c>
    </row>
    <row r="53" spans="7:20" x14ac:dyDescent="0.25">
      <c r="G53" t="s">
        <v>88</v>
      </c>
      <c r="H53" s="52" t="s">
        <v>104</v>
      </c>
      <c r="I53" s="90">
        <v>3.2209498927338709E-2</v>
      </c>
      <c r="J53" s="113">
        <v>-0.27435672225408092</v>
      </c>
      <c r="K53" s="50">
        <f t="shared" si="20"/>
        <v>0.6409667968749988</v>
      </c>
      <c r="L53" s="44">
        <v>1</v>
      </c>
      <c r="M53" s="44">
        <v>0</v>
      </c>
      <c r="N53" s="90">
        <v>2.8904071347164884E-2</v>
      </c>
      <c r="O53" s="113">
        <v>-0.24620147902628231</v>
      </c>
      <c r="P53" s="50">
        <f t="shared" si="21"/>
        <v>0.65820312499999878</v>
      </c>
      <c r="Q53" s="44">
        <v>1</v>
      </c>
      <c r="R53" s="68">
        <v>0</v>
      </c>
      <c r="T53" t="s">
        <v>430</v>
      </c>
    </row>
    <row r="54" spans="7:20" x14ac:dyDescent="0.25">
      <c r="G54" t="s">
        <v>89</v>
      </c>
      <c r="H54" s="52" t="s">
        <v>105</v>
      </c>
      <c r="I54" s="90">
        <v>0</v>
      </c>
      <c r="J54" s="113">
        <v>-0.27435672225408092</v>
      </c>
      <c r="K54" s="50">
        <f t="shared" si="20"/>
        <v>0.6409667968749988</v>
      </c>
      <c r="L54" s="44">
        <v>1</v>
      </c>
      <c r="M54" s="44">
        <v>0</v>
      </c>
      <c r="N54" s="90">
        <v>0</v>
      </c>
      <c r="O54" s="113">
        <v>-0.24620147902628231</v>
      </c>
      <c r="P54" s="50">
        <f t="shared" si="21"/>
        <v>0.65820312499999878</v>
      </c>
      <c r="Q54" s="44">
        <v>1</v>
      </c>
      <c r="R54" s="68">
        <v>0</v>
      </c>
      <c r="T54" t="s">
        <v>431</v>
      </c>
    </row>
    <row r="55" spans="7:20" x14ac:dyDescent="0.25">
      <c r="G55" t="s">
        <v>90</v>
      </c>
      <c r="H55" s="52" t="s">
        <v>106</v>
      </c>
      <c r="I55" s="90">
        <v>0.44251945807257753</v>
      </c>
      <c r="J55" s="113">
        <v>0.14824548862577158</v>
      </c>
      <c r="K55" s="50">
        <f t="shared" si="20"/>
        <v>0.6409667968749988</v>
      </c>
      <c r="L55" s="44">
        <v>1</v>
      </c>
      <c r="M55" s="44">
        <v>0</v>
      </c>
      <c r="N55" s="90">
        <v>0.3971068912774085</v>
      </c>
      <c r="O55" s="113">
        <v>0.13303212787634178</v>
      </c>
      <c r="P55" s="50">
        <f t="shared" si="21"/>
        <v>0.65820312499999878</v>
      </c>
      <c r="Q55" s="44">
        <v>1</v>
      </c>
      <c r="R55" s="68">
        <v>0</v>
      </c>
      <c r="T55" t="s">
        <v>432</v>
      </c>
    </row>
    <row r="56" spans="7:20" x14ac:dyDescent="0.25">
      <c r="G56" t="s">
        <v>91</v>
      </c>
      <c r="H56" s="52" t="s">
        <v>107</v>
      </c>
      <c r="I56" s="90">
        <v>-2.7015527421952679E-2</v>
      </c>
      <c r="J56" s="113">
        <v>-0.27512656792935486</v>
      </c>
      <c r="K56" s="50">
        <f t="shared" si="20"/>
        <v>0.6409667968749988</v>
      </c>
      <c r="L56" s="44">
        <v>1</v>
      </c>
      <c r="M56" s="44">
        <v>0</v>
      </c>
      <c r="N56" s="90">
        <v>-2.4243119517225242E-2</v>
      </c>
      <c r="O56" s="113">
        <v>-0.24689232101592717</v>
      </c>
      <c r="P56" s="50">
        <f t="shared" si="21"/>
        <v>0.65820312499999878</v>
      </c>
      <c r="Q56" s="44">
        <v>1</v>
      </c>
      <c r="R56" s="68">
        <v>0</v>
      </c>
      <c r="T56" t="s">
        <v>433</v>
      </c>
    </row>
    <row r="57" spans="7:20" x14ac:dyDescent="0.25">
      <c r="G57" t="s">
        <v>92</v>
      </c>
      <c r="H57" s="52" t="s">
        <v>108</v>
      </c>
      <c r="I57" s="90">
        <v>0</v>
      </c>
      <c r="J57" s="113">
        <v>-0.27435672225408092</v>
      </c>
      <c r="K57" s="50">
        <f t="shared" si="20"/>
        <v>0.6409667968749988</v>
      </c>
      <c r="L57" s="44">
        <v>1</v>
      </c>
      <c r="M57" s="44">
        <v>0</v>
      </c>
      <c r="N57" s="90">
        <v>0</v>
      </c>
      <c r="O57" s="113">
        <v>-0.24620147902628231</v>
      </c>
      <c r="P57" s="50">
        <f t="shared" si="21"/>
        <v>0.65820312499999878</v>
      </c>
      <c r="Q57" s="44">
        <v>1</v>
      </c>
      <c r="R57" s="68">
        <v>0</v>
      </c>
    </row>
    <row r="58" spans="7:20" x14ac:dyDescent="0.25">
      <c r="G58" t="s">
        <v>93</v>
      </c>
      <c r="H58" s="52" t="s">
        <v>109</v>
      </c>
      <c r="I58" s="90">
        <v>5.1445945208842048E-2</v>
      </c>
      <c r="J58" s="113">
        <v>-0.21772421676462161</v>
      </c>
      <c r="K58" s="50">
        <f t="shared" si="20"/>
        <v>0.6409667968749988</v>
      </c>
      <c r="L58" s="44">
        <v>1</v>
      </c>
      <c r="M58" s="44">
        <v>0</v>
      </c>
      <c r="N58" s="90">
        <v>4.6166420477177228E-2</v>
      </c>
      <c r="O58" s="113">
        <v>-0.19538075738361604</v>
      </c>
      <c r="P58" s="50">
        <f t="shared" si="21"/>
        <v>0.65820312499999878</v>
      </c>
      <c r="Q58" s="44">
        <v>1</v>
      </c>
      <c r="R58" s="68">
        <v>0</v>
      </c>
      <c r="T58" t="s">
        <v>434</v>
      </c>
    </row>
    <row r="59" spans="7:20" x14ac:dyDescent="0.25">
      <c r="G59" t="s">
        <v>94</v>
      </c>
      <c r="H59" s="52" t="s">
        <v>110</v>
      </c>
      <c r="I59" s="90">
        <v>0</v>
      </c>
      <c r="J59" s="113">
        <v>-0.27435672225408092</v>
      </c>
      <c r="K59" s="50">
        <f t="shared" si="20"/>
        <v>0.6409667968749988</v>
      </c>
      <c r="L59" s="44">
        <v>1</v>
      </c>
      <c r="M59" s="44">
        <v>0</v>
      </c>
      <c r="N59" s="90">
        <v>0</v>
      </c>
      <c r="O59" s="113">
        <v>-0.24620147902628231</v>
      </c>
      <c r="P59" s="50">
        <f t="shared" si="21"/>
        <v>0.65820312499999878</v>
      </c>
      <c r="Q59" s="44">
        <v>1</v>
      </c>
      <c r="R59" s="68">
        <v>0</v>
      </c>
      <c r="T59" t="s">
        <v>435</v>
      </c>
    </row>
    <row r="60" spans="7:20" x14ac:dyDescent="0.25">
      <c r="G60" t="s">
        <v>95</v>
      </c>
      <c r="H60" s="52" t="s">
        <v>111</v>
      </c>
      <c r="I60" s="90">
        <v>0</v>
      </c>
      <c r="J60" s="113">
        <v>-0.27435672225408092</v>
      </c>
      <c r="K60" s="50">
        <f t="shared" si="20"/>
        <v>0.6409667968749988</v>
      </c>
      <c r="L60" s="44">
        <v>1</v>
      </c>
      <c r="M60" s="44">
        <v>0</v>
      </c>
      <c r="N60" s="90">
        <v>0</v>
      </c>
      <c r="O60" s="113">
        <v>-0.24620147902628231</v>
      </c>
      <c r="P60" s="50">
        <f t="shared" si="21"/>
        <v>0.65820312499999878</v>
      </c>
      <c r="Q60" s="44">
        <v>1</v>
      </c>
      <c r="R60" s="68">
        <v>0</v>
      </c>
      <c r="T60" t="s">
        <v>436</v>
      </c>
    </row>
    <row r="61" spans="7:20" x14ac:dyDescent="0.25">
      <c r="G61" t="s">
        <v>96</v>
      </c>
      <c r="H61" s="52" t="s">
        <v>112</v>
      </c>
      <c r="I61" s="90">
        <v>2.6515381787925785E-2</v>
      </c>
      <c r="J61" s="113">
        <v>-0.24243164824051067</v>
      </c>
      <c r="K61" s="50">
        <f t="shared" si="20"/>
        <v>0.6409667968749988</v>
      </c>
      <c r="L61" s="44">
        <v>1</v>
      </c>
      <c r="M61" s="44">
        <v>0</v>
      </c>
      <c r="N61" s="90">
        <v>2.3794300207042651E-2</v>
      </c>
      <c r="O61" s="113">
        <v>-0.21755264412408737</v>
      </c>
      <c r="P61" s="50">
        <f t="shared" si="21"/>
        <v>0.65820312499999878</v>
      </c>
      <c r="Q61" s="44">
        <v>1</v>
      </c>
      <c r="R61" s="68">
        <v>0</v>
      </c>
    </row>
    <row r="62" spans="7:20" x14ac:dyDescent="0.25">
      <c r="G62" t="s">
        <v>97</v>
      </c>
      <c r="H62" s="52" t="s">
        <v>113</v>
      </c>
      <c r="I62" s="90">
        <v>0.19705521506759016</v>
      </c>
      <c r="J62" s="113">
        <v>-6.8691042677414771E-2</v>
      </c>
      <c r="K62" s="50">
        <f t="shared" si="20"/>
        <v>0.6409667968749988</v>
      </c>
      <c r="L62" s="44">
        <v>1</v>
      </c>
      <c r="M62" s="44">
        <v>0</v>
      </c>
      <c r="N62" s="90">
        <v>0.17683286562431322</v>
      </c>
      <c r="O62" s="113">
        <v>-6.1641778499507804E-2</v>
      </c>
      <c r="P62" s="50">
        <f t="shared" si="21"/>
        <v>0.65820312499999878</v>
      </c>
      <c r="Q62" s="44">
        <v>1</v>
      </c>
      <c r="R62" s="68">
        <v>0</v>
      </c>
    </row>
    <row r="63" spans="7:20" x14ac:dyDescent="0.25">
      <c r="G63" t="s">
        <v>98</v>
      </c>
      <c r="H63" s="52" t="s">
        <v>114</v>
      </c>
      <c r="I63" s="90">
        <v>0.19320758531722682</v>
      </c>
      <c r="J63" s="113">
        <v>-0.12060600962120394</v>
      </c>
      <c r="K63" s="50">
        <f t="shared" si="20"/>
        <v>0.6409667968749988</v>
      </c>
      <c r="L63" s="44">
        <v>1</v>
      </c>
      <c r="M63" s="44">
        <v>0</v>
      </c>
      <c r="N63" s="90">
        <v>0.17338009024668755</v>
      </c>
      <c r="O63" s="113">
        <v>-0.10822908840811818</v>
      </c>
      <c r="P63" s="50">
        <f t="shared" si="21"/>
        <v>0.65820312499999878</v>
      </c>
      <c r="Q63" s="44">
        <v>1</v>
      </c>
      <c r="R63" s="68">
        <v>0</v>
      </c>
    </row>
    <row r="64" spans="7:20" x14ac:dyDescent="0.25">
      <c r="G64" t="s">
        <v>99</v>
      </c>
      <c r="H64" s="66" t="s">
        <v>115</v>
      </c>
      <c r="I64" s="93">
        <v>0</v>
      </c>
      <c r="J64" s="92">
        <v>-0.27435672225408092</v>
      </c>
      <c r="K64" s="63">
        <f t="shared" si="20"/>
        <v>0.6409667968749988</v>
      </c>
      <c r="L64" s="71">
        <v>1</v>
      </c>
      <c r="M64" s="72">
        <v>0</v>
      </c>
      <c r="N64" s="93">
        <v>0</v>
      </c>
      <c r="O64" s="92">
        <v>-0.24620147902628231</v>
      </c>
      <c r="P64" s="63">
        <f t="shared" si="21"/>
        <v>0.65820312499999878</v>
      </c>
      <c r="Q64" s="71">
        <v>1</v>
      </c>
      <c r="R64" s="72">
        <v>0</v>
      </c>
    </row>
  </sheetData>
  <mergeCells count="23">
    <mergeCell ref="V6:W6"/>
    <mergeCell ref="C8:C9"/>
    <mergeCell ref="D8:D9"/>
    <mergeCell ref="I19:J19"/>
    <mergeCell ref="E8:G8"/>
    <mergeCell ref="K19:K20"/>
    <mergeCell ref="I8:J8"/>
    <mergeCell ref="L19:M19"/>
    <mergeCell ref="V8:W8"/>
    <mergeCell ref="H8:H9"/>
    <mergeCell ref="H6:P6"/>
    <mergeCell ref="I18:M18"/>
    <mergeCell ref="N18:R18"/>
    <mergeCell ref="N19:O19"/>
    <mergeCell ref="P19:P20"/>
    <mergeCell ref="Q19:R19"/>
    <mergeCell ref="T8:U8"/>
    <mergeCell ref="Q6:U6"/>
    <mergeCell ref="K8:L8"/>
    <mergeCell ref="M8:N8"/>
    <mergeCell ref="O8:P8"/>
    <mergeCell ref="Q8:Q9"/>
    <mergeCell ref="R8:S8"/>
  </mergeCells>
  <pageMargins left="0.7" right="0.7" top="0.75" bottom="0.75" header="0.3" footer="0.3"/>
  <ignoredErrors>
    <ignoredError sqref="K53:K63 P53:P63" formula="1"/>
  </ignoredError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64"/>
  <sheetViews>
    <sheetView zoomScale="70" zoomScaleNormal="70" workbookViewId="0"/>
  </sheetViews>
  <sheetFormatPr defaultRowHeight="15" x14ac:dyDescent="0.25"/>
  <cols>
    <col min="2" max="2" width="10.85546875" bestFit="1" customWidth="1"/>
  </cols>
  <sheetData>
    <row r="2" spans="2:25" x14ac:dyDescent="0.25">
      <c r="H2" s="100" t="s">
        <v>128</v>
      </c>
      <c r="I2" s="101">
        <f>IF(AND($B$5="GR",$B$6="HH-HP"),0.548,IF(AND($B$5="GR",$B$6="NFC-RE"),0.43,0.3))</f>
        <v>0.3</v>
      </c>
      <c r="K2" t="s">
        <v>129</v>
      </c>
    </row>
    <row r="3" spans="2:25" x14ac:dyDescent="0.25">
      <c r="K3" t="s">
        <v>130</v>
      </c>
    </row>
    <row r="5" spans="2:25" x14ac:dyDescent="0.25">
      <c r="B5" s="20" t="str">
        <f>VLOOKUP('CR Path Generator'!$D$9,Lists!$F$4:$G$48,2,FALSE)</f>
        <v>DK</v>
      </c>
    </row>
    <row r="6" spans="2:25" x14ac:dyDescent="0.25">
      <c r="B6" s="20" t="str">
        <f>VLOOKUP('CR Path Generator'!$C$9,Lists!$C$4:$D$9,2,FALSE)</f>
        <v>NFC-RE</v>
      </c>
      <c r="H6" s="431" t="s">
        <v>131</v>
      </c>
      <c r="I6" s="432"/>
      <c r="J6" s="432"/>
      <c r="K6" s="432"/>
      <c r="L6" s="432"/>
      <c r="M6" s="432"/>
      <c r="N6" s="432"/>
      <c r="O6" s="432"/>
      <c r="P6" s="433"/>
      <c r="Q6" s="418" t="s">
        <v>132</v>
      </c>
      <c r="R6" s="419"/>
      <c r="S6" s="419"/>
      <c r="T6" s="419"/>
      <c r="U6" s="420"/>
      <c r="V6" s="423" t="s">
        <v>133</v>
      </c>
      <c r="W6" s="424"/>
    </row>
    <row r="8" spans="2:25" x14ac:dyDescent="0.25">
      <c r="C8" s="425" t="s">
        <v>134</v>
      </c>
      <c r="D8" s="427" t="s">
        <v>135</v>
      </c>
      <c r="E8" s="411" t="s">
        <v>15</v>
      </c>
      <c r="F8" s="412"/>
      <c r="G8" s="413"/>
      <c r="H8" s="427" t="s">
        <v>136</v>
      </c>
      <c r="I8" s="411" t="s">
        <v>137</v>
      </c>
      <c r="J8" s="413"/>
      <c r="K8" s="412" t="s">
        <v>138</v>
      </c>
      <c r="L8" s="413"/>
      <c r="M8" s="411" t="s">
        <v>139</v>
      </c>
      <c r="N8" s="413"/>
      <c r="O8" s="411" t="s">
        <v>16</v>
      </c>
      <c r="P8" s="413"/>
      <c r="Q8" s="421" t="s">
        <v>140</v>
      </c>
      <c r="R8" s="411" t="s">
        <v>139</v>
      </c>
      <c r="S8" s="413"/>
      <c r="T8" s="411" t="s">
        <v>16</v>
      </c>
      <c r="U8" s="413"/>
      <c r="V8" s="411" t="s">
        <v>16</v>
      </c>
      <c r="W8" s="413"/>
    </row>
    <row r="9" spans="2:25" x14ac:dyDescent="0.25">
      <c r="B9" s="73"/>
      <c r="C9" s="426"/>
      <c r="D9" s="428"/>
      <c r="E9" s="13" t="s">
        <v>144</v>
      </c>
      <c r="F9" s="14" t="s">
        <v>142</v>
      </c>
      <c r="G9" s="15" t="s">
        <v>143</v>
      </c>
      <c r="H9" s="428"/>
      <c r="I9" s="13" t="s">
        <v>145</v>
      </c>
      <c r="J9" s="15" t="s">
        <v>140</v>
      </c>
      <c r="K9" s="14" t="s">
        <v>145</v>
      </c>
      <c r="L9" s="15" t="s">
        <v>140</v>
      </c>
      <c r="M9" s="13" t="s">
        <v>142</v>
      </c>
      <c r="N9" s="15" t="s">
        <v>143</v>
      </c>
      <c r="O9" s="13" t="s">
        <v>142</v>
      </c>
      <c r="P9" s="15" t="s">
        <v>143</v>
      </c>
      <c r="Q9" s="422"/>
      <c r="R9" s="13" t="s">
        <v>142</v>
      </c>
      <c r="S9" s="15" t="s">
        <v>143</v>
      </c>
      <c r="T9" s="13" t="s">
        <v>142</v>
      </c>
      <c r="U9" s="15" t="s">
        <v>143</v>
      </c>
      <c r="V9" s="13" t="s">
        <v>142</v>
      </c>
      <c r="W9" s="15" t="s">
        <v>143</v>
      </c>
    </row>
    <row r="10" spans="2:25" x14ac:dyDescent="0.25">
      <c r="B10" s="95" t="s">
        <v>118</v>
      </c>
      <c r="C10" s="189">
        <f>'CR Path Generator'!C35</f>
        <v>0.2</v>
      </c>
      <c r="D10" s="190">
        <f>'CR Path Generator'!C33</f>
        <v>0.35</v>
      </c>
      <c r="E10" s="190">
        <f>'CR Path Generator'!C34</f>
        <v>0.7</v>
      </c>
      <c r="F10" s="80">
        <f>$E10/(1+VLOOKUP($B$5,$H$21:$J$64,2,FALSE))</f>
        <v>0.64635151720241169</v>
      </c>
      <c r="G10" s="75">
        <f>$E10/(1+VLOOKUP($B$5,$H$21:$J$64,3,FALSE))</f>
        <v>0.97381602995659866</v>
      </c>
      <c r="H10" s="81">
        <f>VLOOKUP($B$5,$H$21:$K$64,4,FALSE)</f>
        <v>0.63330078124999878</v>
      </c>
      <c r="I10" s="40">
        <f>1-_xlfn.NORM.DIST(F10,H10,$I$2,1)</f>
        <v>0.48265050451423441</v>
      </c>
      <c r="J10" s="41">
        <f>MIN(F10*I10+0.5*H10*ERF(H10/(SQRT(2)*$I$2))+($I$2/SQRT(2*PI()))*EXP(-(H10^2/(2*$I$2^2)))-0.5*H10*ERF((H10-F10)/(SQRT(2)*$I$2))-($I$2/SQRT(2*PI()))*EXP(-((H10-F10)^2/(2*$I$2^2))),H10)</f>
        <v>0.52191255526209168</v>
      </c>
      <c r="K10" s="42">
        <f>1-_xlfn.NORM.DIST(G10,H10,$I$2,1)</f>
        <v>0.12817701102332624</v>
      </c>
      <c r="L10" s="41">
        <f>MIN(G10*K10+0.5*H10*ERF(H10/(SQRT(2)*$I$2))+($I$2/SQRT(2*PI()))*EXP(-(H10^2/(2*$I$2^2)))-0.5*H10*ERF((H10-G10)/(SQRT(2)*$I$2))-($I$2/SQRT(2*PI()))*EXP(-((H10-G10)^2/(2*$I$2^2))),H10)</f>
        <v>0.61598417882996936</v>
      </c>
      <c r="M10" s="74">
        <f>MAX(0,(F10-J10)/F10)</f>
        <v>0.19252521055249669</v>
      </c>
      <c r="N10" s="75">
        <f>MAX(0,(G10-L10)/G10)</f>
        <v>0.36745323564100424</v>
      </c>
      <c r="O10" s="82">
        <f>MIN(1,(1-D10)*M10+0.05)</f>
        <v>0.17514138685912284</v>
      </c>
      <c r="P10" s="41">
        <f>MIN(1,(1-D10*0.75)*N10+0.05)</f>
        <v>0.32099676128524063</v>
      </c>
      <c r="Q10" s="43">
        <f>E10-(((C10-0.05)*E10)/(1-D10))</f>
        <v>0.53846153846153844</v>
      </c>
      <c r="R10" s="74">
        <f>MAX(0,(F10-Q10)/F10)</f>
        <v>0.1669215216015133</v>
      </c>
      <c r="S10" s="75">
        <f>MAX(0,(G10-Q10)/G10)</f>
        <v>0.44706030513223655</v>
      </c>
      <c r="T10" s="82">
        <f>MIN(1,(1-D10)*R10+0.05)</f>
        <v>0.15849898904098364</v>
      </c>
      <c r="U10" s="41">
        <f>MIN(1,(1-D10*0.75)*S10+0.05)</f>
        <v>0.37970697503502449</v>
      </c>
      <c r="V10" s="83">
        <f>MAX(0,MIN(1,VLOOKUP($B$5,$H$21:$M$64,5,FALSE)*O10+VLOOKUP($B$5,$H$21:$M$64,6,FALSE)*T10))</f>
        <v>0.17514138685912284</v>
      </c>
      <c r="W10" s="84">
        <f>MIN(1,MAX(C10,VLOOKUP($B$5,$H$21:$M$64,5,FALSE)*P10+VLOOKUP($B$5,$H$21:$M$64,6,FALSE)*U10))</f>
        <v>0.32099676128524063</v>
      </c>
    </row>
    <row r="11" spans="2:25" x14ac:dyDescent="0.25">
      <c r="B11" s="96" t="s">
        <v>24</v>
      </c>
      <c r="C11" s="54">
        <f>C10</f>
        <v>0.2</v>
      </c>
      <c r="D11" s="55">
        <f t="shared" ref="D11:E16" si="0">D10</f>
        <v>0.35</v>
      </c>
      <c r="E11" s="55">
        <f t="shared" si="0"/>
        <v>0.7</v>
      </c>
      <c r="F11" s="57">
        <f>$E10/(1+VLOOKUP($B$5,$H$21:$O$64,7,FALSE))</f>
        <v>0.6514754227866606</v>
      </c>
      <c r="G11" s="58">
        <f>$E10/(1+VLOOKUP($B$5,$H$21:$O$64,8,FALSE))</f>
        <v>1.0141839825419765</v>
      </c>
      <c r="H11" s="86">
        <f>VLOOKUP($B$5,$H$21:$P$64,9,FALSE)</f>
        <v>0.65820312499999878</v>
      </c>
      <c r="I11" s="59">
        <f t="shared" ref="I11" si="1">1-_xlfn.NORM.DIST(F11,H11,$I$2,1)</f>
        <v>0.50894579971325316</v>
      </c>
      <c r="J11" s="60">
        <f t="shared" ref="J11" si="2">MIN(F11*I11+0.5*H11*ERF(H11/(SQRT(2)*$I$2))+($I$2/SQRT(2*PI()))*EXP(-(H11^2/(2*$I$2^2)))-0.5*H11*ERF((H11-F11)/(SQRT(2)*$I$2))-($I$2/SQRT(2*PI()))*EXP(-((H11-F11)^2/(2*$I$2^2))),H11)</f>
        <v>0.53661777316463821</v>
      </c>
      <c r="K11" s="61">
        <f t="shared" ref="K11" si="3">1-_xlfn.NORM.DIST(G11,H11,$I$2,1)</f>
        <v>0.11769215393831922</v>
      </c>
      <c r="L11" s="60">
        <f t="shared" ref="L11" si="4">MIN(G11*K11+0.5*H11*ERF(H11/(SQRT(2)*$I$2))+($I$2/SQRT(2*PI()))*EXP(-(H11^2/(2*$I$2^2)))-0.5*H11*ERF((H11-G11)/(SQRT(2)*$I$2))-($I$2/SQRT(2*PI()))*EXP(-((H11-G11)^2/(2*$I$2^2))),H11)</f>
        <v>0.64239592935273626</v>
      </c>
      <c r="M11" s="56">
        <f t="shared" ref="M11" si="5">MAX(0,(F11-J11)/F11)</f>
        <v>0.17630388746013362</v>
      </c>
      <c r="N11" s="58">
        <f t="shared" ref="N11" si="6">MAX(0,(G11-L11)/G11)</f>
        <v>0.36658837014698381</v>
      </c>
      <c r="O11" s="62">
        <f t="shared" ref="O11" si="7">MIN(1,(1-D11)*M11+0.05)</f>
        <v>0.16459752684908685</v>
      </c>
      <c r="P11" s="60">
        <f t="shared" ref="P11" si="8">MIN(1,(1-D11*0.75)*N11+0.05)</f>
        <v>0.32035892298340057</v>
      </c>
      <c r="Q11" s="63">
        <f t="shared" ref="Q11" si="9">E11-(((C11-0.05)*E11)/(1-D11))</f>
        <v>0.53846153846153844</v>
      </c>
      <c r="R11" s="56">
        <f t="shared" ref="R11" si="10">MAX(0,(F11-Q11)/F11)</f>
        <v>0.17347374954178577</v>
      </c>
      <c r="S11" s="58">
        <f t="shared" ref="S11" si="11">MAX(0,(G11-Q11)/G11)</f>
        <v>0.46906917508998242</v>
      </c>
      <c r="T11" s="62">
        <f t="shared" ref="T11" si="12">MIN(1,(1-D11)*R11+0.05)</f>
        <v>0.16275793720216075</v>
      </c>
      <c r="U11" s="60">
        <f t="shared" ref="U11" si="13">MIN(1,(1-D11*0.75)*S11+0.05)</f>
        <v>0.39593851662886204</v>
      </c>
      <c r="V11" s="64">
        <f>MAX(0,MIN(1,VLOOKUP($B$5,$H$21:$R$64,10,FALSE)*O11+VLOOKUP($B$5,$H$21:$R$64,11,FALSE)*T11))</f>
        <v>0.16459752684908685</v>
      </c>
      <c r="W11" s="65">
        <f>MIN(1,MAX(C10,VLOOKUP($B$5,$H$21:$R$64,10,FALSE)*P11+VLOOKUP($B$5,$H$21:$R$64,11,FALSE)*U11))</f>
        <v>0.32035892298340057</v>
      </c>
    </row>
    <row r="12" spans="2:25" x14ac:dyDescent="0.25">
      <c r="B12" s="96" t="s">
        <v>25</v>
      </c>
      <c r="C12" s="35">
        <f t="shared" ref="C12:C16" si="14">C11</f>
        <v>0.2</v>
      </c>
      <c r="D12" s="36">
        <f t="shared" si="0"/>
        <v>0.35</v>
      </c>
      <c r="E12" s="36">
        <f t="shared" si="0"/>
        <v>0.7</v>
      </c>
      <c r="F12" s="38" t="s">
        <v>151</v>
      </c>
      <c r="G12" s="39" t="s">
        <v>151</v>
      </c>
      <c r="H12" s="85" t="s">
        <v>151</v>
      </c>
      <c r="I12" s="48" t="s">
        <v>151</v>
      </c>
      <c r="J12" s="89" t="s">
        <v>151</v>
      </c>
      <c r="K12" s="49" t="s">
        <v>151</v>
      </c>
      <c r="L12" s="89" t="s">
        <v>151</v>
      </c>
      <c r="M12" s="90" t="s">
        <v>151</v>
      </c>
      <c r="N12" s="89" t="s">
        <v>151</v>
      </c>
      <c r="O12" s="90" t="s">
        <v>151</v>
      </c>
      <c r="P12" s="89" t="s">
        <v>151</v>
      </c>
      <c r="Q12" s="91" t="s">
        <v>151</v>
      </c>
      <c r="R12" s="90" t="s">
        <v>151</v>
      </c>
      <c r="S12" s="89" t="s">
        <v>151</v>
      </c>
      <c r="T12" s="90" t="s">
        <v>151</v>
      </c>
      <c r="U12" s="89" t="s">
        <v>151</v>
      </c>
      <c r="V12" s="45">
        <f>C12</f>
        <v>0.2</v>
      </c>
      <c r="W12" s="46">
        <f>MIN(1,1.15*C12)</f>
        <v>0.22999999999999998</v>
      </c>
    </row>
    <row r="13" spans="2:25" x14ac:dyDescent="0.25">
      <c r="B13" s="96" t="s">
        <v>119</v>
      </c>
      <c r="C13" s="35">
        <f t="shared" si="14"/>
        <v>0.2</v>
      </c>
      <c r="D13" s="36">
        <f t="shared" si="0"/>
        <v>0.35</v>
      </c>
      <c r="E13" s="36">
        <f t="shared" si="0"/>
        <v>0.7</v>
      </c>
      <c r="F13" s="38" t="s">
        <v>151</v>
      </c>
      <c r="G13" s="39" t="s">
        <v>151</v>
      </c>
      <c r="H13" s="85" t="s">
        <v>151</v>
      </c>
      <c r="I13" s="48" t="s">
        <v>151</v>
      </c>
      <c r="J13" s="89" t="s">
        <v>151</v>
      </c>
      <c r="K13" s="49" t="s">
        <v>151</v>
      </c>
      <c r="L13" s="89" t="s">
        <v>151</v>
      </c>
      <c r="M13" s="90" t="s">
        <v>151</v>
      </c>
      <c r="N13" s="89" t="s">
        <v>151</v>
      </c>
      <c r="O13" s="90" t="s">
        <v>151</v>
      </c>
      <c r="P13" s="89" t="s">
        <v>151</v>
      </c>
      <c r="Q13" s="91" t="s">
        <v>151</v>
      </c>
      <c r="R13" s="90" t="s">
        <v>151</v>
      </c>
      <c r="S13" s="89" t="s">
        <v>151</v>
      </c>
      <c r="T13" s="90" t="s">
        <v>151</v>
      </c>
      <c r="U13" s="89" t="s">
        <v>151</v>
      </c>
      <c r="V13" s="45">
        <f t="shared" ref="V13:V14" si="15">C13</f>
        <v>0.2</v>
      </c>
      <c r="W13" s="46">
        <f>MIN(1,1.15*C13)</f>
        <v>0.22999999999999998</v>
      </c>
    </row>
    <row r="14" spans="2:25" x14ac:dyDescent="0.25">
      <c r="B14" s="96" t="s">
        <v>120</v>
      </c>
      <c r="C14" s="35">
        <f t="shared" si="14"/>
        <v>0.2</v>
      </c>
      <c r="D14" s="36">
        <f t="shared" si="0"/>
        <v>0.35</v>
      </c>
      <c r="E14" s="36">
        <f t="shared" si="0"/>
        <v>0.7</v>
      </c>
      <c r="F14" s="38" t="s">
        <v>151</v>
      </c>
      <c r="G14" s="39" t="s">
        <v>151</v>
      </c>
      <c r="H14" s="85" t="s">
        <v>151</v>
      </c>
      <c r="I14" s="48" t="s">
        <v>151</v>
      </c>
      <c r="J14" s="89" t="s">
        <v>151</v>
      </c>
      <c r="K14" s="49" t="s">
        <v>151</v>
      </c>
      <c r="L14" s="89" t="s">
        <v>151</v>
      </c>
      <c r="M14" s="90" t="s">
        <v>151</v>
      </c>
      <c r="N14" s="89" t="s">
        <v>151</v>
      </c>
      <c r="O14" s="90" t="s">
        <v>151</v>
      </c>
      <c r="P14" s="89" t="s">
        <v>151</v>
      </c>
      <c r="Q14" s="91" t="s">
        <v>151</v>
      </c>
      <c r="R14" s="90" t="s">
        <v>151</v>
      </c>
      <c r="S14" s="89" t="s">
        <v>151</v>
      </c>
      <c r="T14" s="90" t="s">
        <v>151</v>
      </c>
      <c r="U14" s="89" t="s">
        <v>151</v>
      </c>
      <c r="V14" s="45">
        <f t="shared" si="15"/>
        <v>0.2</v>
      </c>
      <c r="W14" s="46">
        <f>MIN(1,1.15*C14)</f>
        <v>0.22999999999999998</v>
      </c>
    </row>
    <row r="15" spans="2:25" x14ac:dyDescent="0.25">
      <c r="B15" s="97" t="s">
        <v>150</v>
      </c>
      <c r="C15" s="54">
        <f t="shared" si="14"/>
        <v>0.2</v>
      </c>
      <c r="D15" s="55">
        <f t="shared" si="0"/>
        <v>0.35</v>
      </c>
      <c r="E15" s="55">
        <f t="shared" si="0"/>
        <v>0.7</v>
      </c>
      <c r="F15" s="57" t="s">
        <v>151</v>
      </c>
      <c r="G15" s="58" t="s">
        <v>151</v>
      </c>
      <c r="H15" s="86" t="s">
        <v>151</v>
      </c>
      <c r="I15" s="59" t="s">
        <v>151</v>
      </c>
      <c r="J15" s="92" t="s">
        <v>151</v>
      </c>
      <c r="K15" s="61" t="s">
        <v>151</v>
      </c>
      <c r="L15" s="92" t="s">
        <v>151</v>
      </c>
      <c r="M15" s="93" t="s">
        <v>151</v>
      </c>
      <c r="N15" s="92" t="s">
        <v>151</v>
      </c>
      <c r="O15" s="93" t="s">
        <v>151</v>
      </c>
      <c r="P15" s="92" t="s">
        <v>151</v>
      </c>
      <c r="Q15" s="94" t="s">
        <v>151</v>
      </c>
      <c r="R15" s="93" t="s">
        <v>151</v>
      </c>
      <c r="S15" s="92" t="s">
        <v>151</v>
      </c>
      <c r="T15" s="93" t="s">
        <v>151</v>
      </c>
      <c r="U15" s="92" t="s">
        <v>151</v>
      </c>
      <c r="V15" s="64">
        <v>0.4</v>
      </c>
      <c r="W15" s="65">
        <v>0.4</v>
      </c>
    </row>
    <row r="16" spans="2:25" x14ac:dyDescent="0.25">
      <c r="B16" s="98" t="s">
        <v>153</v>
      </c>
      <c r="C16" s="54">
        <f t="shared" si="14"/>
        <v>0.2</v>
      </c>
      <c r="D16" s="55">
        <f t="shared" si="0"/>
        <v>0.35</v>
      </c>
      <c r="E16" s="55">
        <f t="shared" si="0"/>
        <v>0.7</v>
      </c>
      <c r="F16" s="57" t="s">
        <v>151</v>
      </c>
      <c r="G16" s="58" t="s">
        <v>151</v>
      </c>
      <c r="H16" s="86" t="s">
        <v>151</v>
      </c>
      <c r="I16" s="59" t="s">
        <v>151</v>
      </c>
      <c r="J16" s="92" t="s">
        <v>151</v>
      </c>
      <c r="K16" s="61" t="s">
        <v>151</v>
      </c>
      <c r="L16" s="92" t="s">
        <v>151</v>
      </c>
      <c r="M16" s="93" t="s">
        <v>151</v>
      </c>
      <c r="N16" s="92" t="s">
        <v>151</v>
      </c>
      <c r="O16" s="93" t="s">
        <v>151</v>
      </c>
      <c r="P16" s="92" t="s">
        <v>151</v>
      </c>
      <c r="Q16" s="94" t="s">
        <v>151</v>
      </c>
      <c r="R16" s="93" t="s">
        <v>151</v>
      </c>
      <c r="S16" s="92" t="s">
        <v>151</v>
      </c>
      <c r="T16" s="93" t="s">
        <v>151</v>
      </c>
      <c r="U16" s="92" t="s">
        <v>151</v>
      </c>
      <c r="V16" s="88">
        <f>VLOOKUP($B$6,$B$10:$W$15,21,FALSE)</f>
        <v>0.16459752684908685</v>
      </c>
      <c r="W16" s="87">
        <f>VLOOKUP($B$6,$B$10:$W$15,22,FALSE)</f>
        <v>0.32035892298340057</v>
      </c>
      <c r="X16" s="26">
        <f>V16/C16</f>
        <v>0.8229876342454342</v>
      </c>
      <c r="Y16" s="28">
        <f>W16/C16</f>
        <v>1.6017946149170028</v>
      </c>
    </row>
    <row r="18" spans="2:20" x14ac:dyDescent="0.25">
      <c r="B18" s="69"/>
      <c r="I18" s="408" t="s">
        <v>148</v>
      </c>
      <c r="J18" s="409"/>
      <c r="K18" s="409"/>
      <c r="L18" s="409"/>
      <c r="M18" s="410"/>
      <c r="N18" s="408" t="s">
        <v>149</v>
      </c>
      <c r="O18" s="409"/>
      <c r="P18" s="409"/>
      <c r="Q18" s="409"/>
      <c r="R18" s="410"/>
      <c r="T18" t="s">
        <v>406</v>
      </c>
    </row>
    <row r="19" spans="2:20" x14ac:dyDescent="0.25">
      <c r="B19" s="69"/>
      <c r="I19" s="429" t="s">
        <v>154</v>
      </c>
      <c r="J19" s="430"/>
      <c r="K19" s="427" t="s">
        <v>136</v>
      </c>
      <c r="L19" s="411" t="s">
        <v>141</v>
      </c>
      <c r="M19" s="413"/>
      <c r="N19" s="429" t="s">
        <v>155</v>
      </c>
      <c r="O19" s="430"/>
      <c r="P19" s="427" t="s">
        <v>136</v>
      </c>
      <c r="Q19" s="411" t="s">
        <v>141</v>
      </c>
      <c r="R19" s="413"/>
    </row>
    <row r="20" spans="2:20" x14ac:dyDescent="0.25">
      <c r="B20" s="69"/>
      <c r="I20" s="32" t="s">
        <v>142</v>
      </c>
      <c r="J20" s="33" t="s">
        <v>143</v>
      </c>
      <c r="K20" s="428"/>
      <c r="L20" s="100" t="s">
        <v>146</v>
      </c>
      <c r="M20" s="101" t="s">
        <v>147</v>
      </c>
      <c r="N20" s="32" t="s">
        <v>142</v>
      </c>
      <c r="O20" s="33" t="s">
        <v>143</v>
      </c>
      <c r="P20" s="428"/>
      <c r="Q20" s="100" t="s">
        <v>146</v>
      </c>
      <c r="R20" s="101" t="s">
        <v>147</v>
      </c>
      <c r="T20" t="s">
        <v>307</v>
      </c>
    </row>
    <row r="21" spans="2:20" x14ac:dyDescent="0.25">
      <c r="B21" s="69"/>
      <c r="G21" t="s">
        <v>30</v>
      </c>
      <c r="H21" s="34" t="s">
        <v>29</v>
      </c>
      <c r="I21" s="74">
        <v>5.8406039130669107E-2</v>
      </c>
      <c r="J21" s="75">
        <v>-0.28884779382151193</v>
      </c>
      <c r="K21" s="76">
        <v>0.53876953124999871</v>
      </c>
      <c r="L21" s="44">
        <v>1</v>
      </c>
      <c r="M21" s="44">
        <v>0</v>
      </c>
      <c r="N21" s="74">
        <v>4.8003655276378066E-2</v>
      </c>
      <c r="O21" s="75">
        <v>-0.26884278459279587</v>
      </c>
      <c r="P21" s="76">
        <v>0.63017578124999873</v>
      </c>
      <c r="Q21" s="79">
        <v>1</v>
      </c>
      <c r="R21" s="67">
        <v>0</v>
      </c>
      <c r="T21" t="s">
        <v>407</v>
      </c>
    </row>
    <row r="22" spans="2:20" x14ac:dyDescent="0.25">
      <c r="B22" s="69"/>
      <c r="G22" t="s">
        <v>32</v>
      </c>
      <c r="H22" s="47" t="s">
        <v>31</v>
      </c>
      <c r="I22" s="37">
        <v>0.3222697391275049</v>
      </c>
      <c r="J22" s="39">
        <v>-5.1660647312816721E-3</v>
      </c>
      <c r="K22" s="77">
        <v>0.63330078124999878</v>
      </c>
      <c r="L22" s="44">
        <v>1</v>
      </c>
      <c r="M22" s="44">
        <v>0</v>
      </c>
      <c r="N22" s="37">
        <v>0.28919753001395887</v>
      </c>
      <c r="O22" s="39">
        <v>-4.3311834826350593E-2</v>
      </c>
      <c r="P22" s="77">
        <v>0.65820312499999878</v>
      </c>
      <c r="Q22" s="44">
        <v>1</v>
      </c>
      <c r="R22" s="68">
        <v>0</v>
      </c>
    </row>
    <row r="23" spans="2:20" x14ac:dyDescent="0.25">
      <c r="B23" s="69"/>
      <c r="G23" t="s">
        <v>34</v>
      </c>
      <c r="H23" s="47" t="s">
        <v>33</v>
      </c>
      <c r="I23" s="37">
        <v>0.31249920901329697</v>
      </c>
      <c r="J23" s="39">
        <v>-5.8990028111744031E-2</v>
      </c>
      <c r="K23" s="77">
        <v>0.67871093749999889</v>
      </c>
      <c r="L23" s="44">
        <v>1</v>
      </c>
      <c r="M23" s="44">
        <v>0</v>
      </c>
      <c r="N23" s="37">
        <v>0.29040332922222722</v>
      </c>
      <c r="O23" s="39">
        <v>-9.3531120406841417E-2</v>
      </c>
      <c r="P23" s="77">
        <v>0.6890624999999988</v>
      </c>
      <c r="Q23" s="44">
        <v>1</v>
      </c>
      <c r="R23" s="68">
        <v>0</v>
      </c>
      <c r="T23" t="s">
        <v>309</v>
      </c>
    </row>
    <row r="24" spans="2:20" x14ac:dyDescent="0.25">
      <c r="B24" s="69"/>
      <c r="G24" t="s">
        <v>36</v>
      </c>
      <c r="H24" s="47" t="s">
        <v>35</v>
      </c>
      <c r="I24" s="37">
        <v>8.3002021918032742E-2</v>
      </c>
      <c r="J24" s="39">
        <v>-0.28117839667190758</v>
      </c>
      <c r="K24" s="77">
        <v>0.63330078124999878</v>
      </c>
      <c r="L24" s="44">
        <v>1</v>
      </c>
      <c r="M24" s="44">
        <v>0</v>
      </c>
      <c r="N24" s="37">
        <v>7.4484125595678519E-2</v>
      </c>
      <c r="O24" s="39">
        <v>-0.30978992761697721</v>
      </c>
      <c r="P24" s="77">
        <v>0.65820312499999878</v>
      </c>
      <c r="Q24" s="44">
        <v>1</v>
      </c>
      <c r="R24" s="68">
        <v>0</v>
      </c>
      <c r="T24" t="s">
        <v>310</v>
      </c>
    </row>
    <row r="25" spans="2:20" x14ac:dyDescent="0.25">
      <c r="B25" s="69"/>
      <c r="G25" t="s">
        <v>38</v>
      </c>
      <c r="H25" s="47" t="s">
        <v>37</v>
      </c>
      <c r="I25" s="37">
        <v>0.13147646833087245</v>
      </c>
      <c r="J25" s="39">
        <v>-0.17288558543154686</v>
      </c>
      <c r="K25" s="77">
        <v>0.70966796874999882</v>
      </c>
      <c r="L25" s="44">
        <v>1</v>
      </c>
      <c r="M25" s="44">
        <v>0</v>
      </c>
      <c r="N25" s="37">
        <v>0.11975311567047431</v>
      </c>
      <c r="O25" s="39">
        <v>-0.19106250251755885</v>
      </c>
      <c r="P25" s="77">
        <v>0.69277343749999887</v>
      </c>
      <c r="Q25" s="44">
        <v>1</v>
      </c>
      <c r="R25" s="68">
        <v>0</v>
      </c>
    </row>
    <row r="26" spans="2:20" x14ac:dyDescent="0.25">
      <c r="B26" s="69"/>
      <c r="G26" t="s">
        <v>40</v>
      </c>
      <c r="H26" s="47" t="s">
        <v>39</v>
      </c>
      <c r="I26" s="37">
        <v>0.20061162811423583</v>
      </c>
      <c r="J26" s="39">
        <v>-0.37595044663040278</v>
      </c>
      <c r="K26" s="77">
        <v>0.63330078124999878</v>
      </c>
      <c r="L26" s="44">
        <v>1</v>
      </c>
      <c r="M26" s="44">
        <v>0</v>
      </c>
      <c r="N26" s="37">
        <v>0.18272370570487162</v>
      </c>
      <c r="O26" s="39">
        <v>-0.34790981175259028</v>
      </c>
      <c r="P26" s="77">
        <v>0.65820312499999878</v>
      </c>
      <c r="Q26" s="44">
        <v>1</v>
      </c>
      <c r="R26" s="68">
        <v>0</v>
      </c>
      <c r="T26" t="s">
        <v>408</v>
      </c>
    </row>
    <row r="27" spans="2:20" x14ac:dyDescent="0.25">
      <c r="G27" t="s">
        <v>42</v>
      </c>
      <c r="H27" s="47" t="s">
        <v>41</v>
      </c>
      <c r="I27" s="37">
        <v>0.18416329305616697</v>
      </c>
      <c r="J27" s="39">
        <v>-5.0719436734475987E-2</v>
      </c>
      <c r="K27" s="77">
        <v>0.72207031249999887</v>
      </c>
      <c r="L27" s="44">
        <v>1</v>
      </c>
      <c r="M27" s="44">
        <v>0</v>
      </c>
      <c r="N27" s="37">
        <v>0.17265250587254433</v>
      </c>
      <c r="O27" s="39">
        <v>-8.2728887003374108E-2</v>
      </c>
      <c r="P27" s="77">
        <v>0.70058593749999887</v>
      </c>
      <c r="Q27" s="44">
        <v>1</v>
      </c>
      <c r="R27" s="68">
        <v>0</v>
      </c>
      <c r="T27" t="s">
        <v>409</v>
      </c>
    </row>
    <row r="28" spans="2:20" x14ac:dyDescent="0.25">
      <c r="G28" t="s">
        <v>44</v>
      </c>
      <c r="H28" s="47" t="s">
        <v>43</v>
      </c>
      <c r="I28" s="37">
        <v>9.9747805581902327E-3</v>
      </c>
      <c r="J28" s="39">
        <v>-0.16597193074334871</v>
      </c>
      <c r="K28" s="77">
        <v>0.75</v>
      </c>
      <c r="L28" s="44">
        <v>1</v>
      </c>
      <c r="M28" s="44">
        <v>0</v>
      </c>
      <c r="N28" s="37">
        <v>9.0853600278222313E-3</v>
      </c>
      <c r="O28" s="39">
        <v>-0.16632801213306214</v>
      </c>
      <c r="P28" s="77">
        <v>0.75</v>
      </c>
      <c r="Q28" s="44">
        <v>1</v>
      </c>
      <c r="R28" s="68">
        <v>0</v>
      </c>
      <c r="T28" t="s">
        <v>410</v>
      </c>
    </row>
    <row r="29" spans="2:20" x14ac:dyDescent="0.25">
      <c r="G29" t="s">
        <v>46</v>
      </c>
      <c r="H29" s="47" t="s">
        <v>45</v>
      </c>
      <c r="I29" s="37">
        <v>0.15499639255244424</v>
      </c>
      <c r="J29" s="39">
        <v>-0.14334811490606469</v>
      </c>
      <c r="K29" s="77">
        <v>0.47441406249999862</v>
      </c>
      <c r="L29" s="44">
        <v>1</v>
      </c>
      <c r="M29" s="44">
        <v>0</v>
      </c>
      <c r="N29" s="37">
        <v>0.13669960605797615</v>
      </c>
      <c r="O29" s="39">
        <v>-0.16052735536433216</v>
      </c>
      <c r="P29" s="77">
        <v>0.44863281249999853</v>
      </c>
      <c r="Q29" s="44">
        <v>1</v>
      </c>
      <c r="R29" s="68">
        <v>0</v>
      </c>
      <c r="T29" t="s">
        <v>411</v>
      </c>
    </row>
    <row r="30" spans="2:20" x14ac:dyDescent="0.25">
      <c r="G30" t="s">
        <v>48</v>
      </c>
      <c r="H30" s="47" t="s">
        <v>47</v>
      </c>
      <c r="I30" s="37">
        <v>0.11394568477126898</v>
      </c>
      <c r="J30" s="39">
        <v>-0.16860927930579084</v>
      </c>
      <c r="K30" s="77">
        <v>0.64160156249999878</v>
      </c>
      <c r="L30" s="44">
        <v>1</v>
      </c>
      <c r="M30" s="44">
        <v>0</v>
      </c>
      <c r="N30" s="37">
        <v>0.10268971760093315</v>
      </c>
      <c r="O30" s="39">
        <v>-0.20022948038055521</v>
      </c>
      <c r="P30" s="77">
        <v>0.75419921874999885</v>
      </c>
      <c r="Q30" s="44">
        <v>1</v>
      </c>
      <c r="R30" s="68">
        <v>0</v>
      </c>
      <c r="T30" t="s">
        <v>412</v>
      </c>
    </row>
    <row r="31" spans="2:20" x14ac:dyDescent="0.25">
      <c r="G31" t="s">
        <v>50</v>
      </c>
      <c r="H31" s="47" t="s">
        <v>49</v>
      </c>
      <c r="I31" s="37">
        <v>6.1077118351501536E-2</v>
      </c>
      <c r="J31" s="39">
        <v>-0.12093295277767369</v>
      </c>
      <c r="K31" s="77">
        <v>0.65986328124999882</v>
      </c>
      <c r="L31" s="44">
        <v>1</v>
      </c>
      <c r="M31" s="44">
        <v>0</v>
      </c>
      <c r="N31" s="37">
        <v>5.4809216079192868E-2</v>
      </c>
      <c r="O31" s="39">
        <v>-0.14016675623887809</v>
      </c>
      <c r="P31" s="77">
        <v>0.77812499999999885</v>
      </c>
      <c r="Q31" s="44">
        <v>1</v>
      </c>
      <c r="R31" s="68">
        <v>0</v>
      </c>
      <c r="T31" t="s">
        <v>413</v>
      </c>
    </row>
    <row r="32" spans="2:20" x14ac:dyDescent="0.25">
      <c r="G32" t="s">
        <v>52</v>
      </c>
      <c r="H32" s="47" t="s">
        <v>51</v>
      </c>
      <c r="I32" s="37">
        <v>6.516510382925822E-2</v>
      </c>
      <c r="J32" s="39">
        <v>-0.11954014502899812</v>
      </c>
      <c r="K32" s="77">
        <v>0.58037109374999873</v>
      </c>
      <c r="L32" s="44">
        <v>1</v>
      </c>
      <c r="M32" s="44">
        <v>0</v>
      </c>
      <c r="N32" s="37">
        <v>5.9354531769935104E-2</v>
      </c>
      <c r="O32" s="39">
        <v>-0.1406617535907968</v>
      </c>
      <c r="P32" s="77">
        <v>0.51923828124999871</v>
      </c>
      <c r="Q32" s="44">
        <v>1</v>
      </c>
      <c r="R32" s="68">
        <v>0</v>
      </c>
      <c r="T32" t="s">
        <v>414</v>
      </c>
    </row>
    <row r="33" spans="7:20" x14ac:dyDescent="0.25">
      <c r="G33" t="s">
        <v>54</v>
      </c>
      <c r="H33" s="47" t="s">
        <v>53</v>
      </c>
      <c r="I33" s="37">
        <v>0.10359209780926948</v>
      </c>
      <c r="J33" s="39">
        <v>-0.10212694070834938</v>
      </c>
      <c r="K33" s="77">
        <v>0.63984374999999871</v>
      </c>
      <c r="L33" s="44">
        <v>1</v>
      </c>
      <c r="M33" s="44">
        <v>0</v>
      </c>
      <c r="N33" s="37">
        <v>9.4355108780994845E-2</v>
      </c>
      <c r="O33" s="39">
        <v>-0.1537574270707619</v>
      </c>
      <c r="P33" s="77">
        <v>0.59687499999999871</v>
      </c>
      <c r="Q33" s="44">
        <v>1</v>
      </c>
      <c r="R33" s="68">
        <v>0</v>
      </c>
      <c r="T33" t="s">
        <v>415</v>
      </c>
    </row>
    <row r="34" spans="7:20" x14ac:dyDescent="0.25">
      <c r="G34" t="s">
        <v>56</v>
      </c>
      <c r="H34" s="47" t="s">
        <v>55</v>
      </c>
      <c r="I34" s="37">
        <v>0.15768210405772232</v>
      </c>
      <c r="J34" s="39">
        <v>-0.36019429931760805</v>
      </c>
      <c r="K34" s="77">
        <v>0.65654296874999873</v>
      </c>
      <c r="L34" s="44">
        <v>1</v>
      </c>
      <c r="M34" s="44">
        <v>0</v>
      </c>
      <c r="N34" s="37">
        <v>0.14362207538817984</v>
      </c>
      <c r="O34" s="39">
        <v>-0.36238554276831791</v>
      </c>
      <c r="P34" s="77">
        <v>0.65820312499999878</v>
      </c>
      <c r="Q34" s="44">
        <v>1</v>
      </c>
      <c r="R34" s="68">
        <v>0</v>
      </c>
      <c r="T34" t="s">
        <v>416</v>
      </c>
    </row>
    <row r="35" spans="7:20" x14ac:dyDescent="0.25">
      <c r="G35" t="s">
        <v>58</v>
      </c>
      <c r="H35" s="47" t="s">
        <v>57</v>
      </c>
      <c r="I35" s="37">
        <v>0.14234490603433003</v>
      </c>
      <c r="J35" s="39">
        <v>-0.29874978583658218</v>
      </c>
      <c r="K35" s="77">
        <v>0.63330078124999878</v>
      </c>
      <c r="L35" s="44">
        <v>1</v>
      </c>
      <c r="M35" s="44">
        <v>0</v>
      </c>
      <c r="N35" s="37">
        <v>0.12965244818208466</v>
      </c>
      <c r="O35" s="39">
        <v>-0.30600075892227008</v>
      </c>
      <c r="P35" s="77">
        <v>0.65820312499999878</v>
      </c>
      <c r="Q35" s="44">
        <v>1</v>
      </c>
      <c r="R35" s="68">
        <v>0</v>
      </c>
      <c r="T35" t="s">
        <v>417</v>
      </c>
    </row>
    <row r="36" spans="7:20" x14ac:dyDescent="0.25">
      <c r="G36" t="s">
        <v>60</v>
      </c>
      <c r="H36" s="47" t="s">
        <v>59</v>
      </c>
      <c r="I36" s="37">
        <v>0.20052680017659652</v>
      </c>
      <c r="J36" s="39">
        <v>-0.29771699021220477</v>
      </c>
      <c r="K36" s="77">
        <v>0.63105468749999871</v>
      </c>
      <c r="L36" s="44">
        <v>1</v>
      </c>
      <c r="M36" s="44">
        <v>0</v>
      </c>
      <c r="N36" s="37">
        <v>0.18264644161375987</v>
      </c>
      <c r="O36" s="39">
        <v>-0.2366498743129386</v>
      </c>
      <c r="P36" s="77">
        <v>0.60253906249999867</v>
      </c>
      <c r="Q36" s="44">
        <v>1</v>
      </c>
      <c r="R36" s="68">
        <v>0</v>
      </c>
      <c r="T36" t="s">
        <v>418</v>
      </c>
    </row>
    <row r="37" spans="7:20" x14ac:dyDescent="0.25">
      <c r="G37" t="s">
        <v>62</v>
      </c>
      <c r="H37" s="51" t="s">
        <v>61</v>
      </c>
      <c r="I37" s="37">
        <v>0.4281688494153022</v>
      </c>
      <c r="J37" s="39">
        <v>-4.0353594687966288E-3</v>
      </c>
      <c r="K37" s="77">
        <v>0.48037109374999865</v>
      </c>
      <c r="L37" s="44">
        <v>1</v>
      </c>
      <c r="M37" s="44">
        <v>0</v>
      </c>
      <c r="N37" s="37">
        <v>0.33023407579972508</v>
      </c>
      <c r="O37" s="39">
        <v>-4.3019376679310106E-2</v>
      </c>
      <c r="P37" s="77">
        <v>0.61308593749999885</v>
      </c>
      <c r="Q37" s="44">
        <v>1</v>
      </c>
      <c r="R37" s="68">
        <v>0</v>
      </c>
      <c r="T37" t="s">
        <v>419</v>
      </c>
    </row>
    <row r="38" spans="7:20" x14ac:dyDescent="0.25">
      <c r="G38" t="s">
        <v>64</v>
      </c>
      <c r="H38" s="51" t="s">
        <v>63</v>
      </c>
      <c r="I38" s="37">
        <v>0.12829598065496906</v>
      </c>
      <c r="J38" s="39">
        <v>-0.35162334489399283</v>
      </c>
      <c r="K38" s="77">
        <v>0.64033203124999882</v>
      </c>
      <c r="L38" s="44">
        <v>1</v>
      </c>
      <c r="M38" s="44">
        <v>0</v>
      </c>
      <c r="N38" s="37">
        <v>0.11685622230715031</v>
      </c>
      <c r="O38" s="39">
        <v>-0.2576948068948397</v>
      </c>
      <c r="P38" s="77">
        <v>0.62031249999999882</v>
      </c>
      <c r="Q38" s="44">
        <v>1</v>
      </c>
      <c r="R38" s="68">
        <v>0</v>
      </c>
      <c r="T38" t="s">
        <v>420</v>
      </c>
    </row>
    <row r="39" spans="7:20" x14ac:dyDescent="0.25">
      <c r="G39" t="s">
        <v>66</v>
      </c>
      <c r="H39" s="51" t="s">
        <v>65</v>
      </c>
      <c r="I39" s="37">
        <v>0.17077377226132673</v>
      </c>
      <c r="J39" s="39">
        <v>-0.12463986791393411</v>
      </c>
      <c r="K39" s="77">
        <v>0.82695312499999896</v>
      </c>
      <c r="L39" s="44">
        <v>1</v>
      </c>
      <c r="M39" s="44">
        <v>0</v>
      </c>
      <c r="N39" s="37">
        <v>0.15910587640576845</v>
      </c>
      <c r="O39" s="39">
        <v>-0.15093987204107107</v>
      </c>
      <c r="P39" s="77">
        <v>0.72968749999999882</v>
      </c>
      <c r="Q39" s="44">
        <v>1</v>
      </c>
      <c r="R39" s="68">
        <v>0</v>
      </c>
      <c r="T39" t="s">
        <v>421</v>
      </c>
    </row>
    <row r="40" spans="7:20" x14ac:dyDescent="0.25">
      <c r="G40" t="s">
        <v>3</v>
      </c>
      <c r="H40" s="51" t="s">
        <v>67</v>
      </c>
      <c r="I40" s="37">
        <v>0.10112548899042495</v>
      </c>
      <c r="J40" s="39">
        <v>-0.33317777637224233</v>
      </c>
      <c r="K40" s="77">
        <v>0.68037109374999882</v>
      </c>
      <c r="L40" s="44">
        <v>1</v>
      </c>
      <c r="M40" s="44">
        <v>0</v>
      </c>
      <c r="N40" s="37">
        <v>9.42162214942599E-2</v>
      </c>
      <c r="O40" s="39">
        <v>-0.26324032482784332</v>
      </c>
      <c r="P40" s="77">
        <v>0.6880859374999988</v>
      </c>
      <c r="Q40" s="44">
        <v>1</v>
      </c>
      <c r="R40" s="68">
        <v>0</v>
      </c>
    </row>
    <row r="41" spans="7:20" x14ac:dyDescent="0.25">
      <c r="G41" t="s">
        <v>69</v>
      </c>
      <c r="H41" s="51" t="s">
        <v>68</v>
      </c>
      <c r="I41" s="37">
        <v>9.8550466258612746E-2</v>
      </c>
      <c r="J41" s="39">
        <v>-7.8990273676010525E-2</v>
      </c>
      <c r="K41" s="77">
        <v>0.50214843749999871</v>
      </c>
      <c r="L41" s="44">
        <v>1</v>
      </c>
      <c r="M41" s="44">
        <v>0</v>
      </c>
      <c r="N41" s="37">
        <v>8.8436945711612758E-2</v>
      </c>
      <c r="O41" s="39">
        <v>-0.10353718238982379</v>
      </c>
      <c r="P41" s="77">
        <v>0.55947265624999876</v>
      </c>
      <c r="Q41" s="44">
        <v>1</v>
      </c>
      <c r="R41" s="68">
        <v>0</v>
      </c>
      <c r="T41" t="s">
        <v>422</v>
      </c>
    </row>
    <row r="42" spans="7:20" x14ac:dyDescent="0.25">
      <c r="G42" t="s">
        <v>71</v>
      </c>
      <c r="H42" s="51" t="s">
        <v>70</v>
      </c>
      <c r="I42" s="37">
        <v>0.12492619755114154</v>
      </c>
      <c r="J42" s="39">
        <v>-0.11324755690494959</v>
      </c>
      <c r="K42" s="77">
        <v>0.61064453124999885</v>
      </c>
      <c r="L42" s="44">
        <v>1</v>
      </c>
      <c r="M42" s="44">
        <v>0</v>
      </c>
      <c r="N42" s="37">
        <v>0.12116801903375451</v>
      </c>
      <c r="O42" s="39">
        <v>-0.14347574972225186</v>
      </c>
      <c r="P42" s="77">
        <v>0.58994140624999869</v>
      </c>
      <c r="Q42" s="44">
        <v>1</v>
      </c>
      <c r="R42" s="68">
        <v>0</v>
      </c>
      <c r="T42" t="s">
        <v>129</v>
      </c>
    </row>
    <row r="43" spans="7:20" x14ac:dyDescent="0.25">
      <c r="G43" t="s">
        <v>73</v>
      </c>
      <c r="H43" s="51" t="s">
        <v>72</v>
      </c>
      <c r="I43" s="37">
        <v>0.20350429080689758</v>
      </c>
      <c r="J43" s="39">
        <v>-8.1574636187516592E-2</v>
      </c>
      <c r="K43" s="77">
        <v>0.67617187499999887</v>
      </c>
      <c r="L43" s="44">
        <v>1</v>
      </c>
      <c r="M43" s="44">
        <v>0</v>
      </c>
      <c r="N43" s="37">
        <v>0.18262011943141832</v>
      </c>
      <c r="O43" s="39">
        <v>-0.10868182570701346</v>
      </c>
      <c r="P43" s="77">
        <v>0.65087890624999878</v>
      </c>
      <c r="Q43" s="44">
        <v>1</v>
      </c>
      <c r="R43" s="68">
        <v>0</v>
      </c>
      <c r="T43" t="s">
        <v>130</v>
      </c>
    </row>
    <row r="44" spans="7:20" x14ac:dyDescent="0.25">
      <c r="G44" t="s">
        <v>75</v>
      </c>
      <c r="H44" s="51" t="s">
        <v>74</v>
      </c>
      <c r="I44" s="37">
        <v>0.18677399615935264</v>
      </c>
      <c r="J44" s="39">
        <v>-0.11599063054406766</v>
      </c>
      <c r="K44" s="77">
        <v>0.66249999999999876</v>
      </c>
      <c r="L44" s="44">
        <v>1</v>
      </c>
      <c r="M44" s="44">
        <v>0</v>
      </c>
      <c r="N44" s="37">
        <v>0.17011993286904881</v>
      </c>
      <c r="O44" s="39">
        <v>-0.14075170043797891</v>
      </c>
      <c r="P44" s="77">
        <v>0.63789062499999882</v>
      </c>
      <c r="Q44" s="44">
        <v>1</v>
      </c>
      <c r="R44" s="68">
        <v>0</v>
      </c>
      <c r="T44" t="s">
        <v>423</v>
      </c>
    </row>
    <row r="45" spans="7:20" x14ac:dyDescent="0.25">
      <c r="G45" t="s">
        <v>77</v>
      </c>
      <c r="H45" s="51" t="s">
        <v>76</v>
      </c>
      <c r="I45" s="37">
        <v>0.10948656667409673</v>
      </c>
      <c r="J45" s="39">
        <v>-0.14019276095114919</v>
      </c>
      <c r="K45" s="77">
        <v>0.72187499999999893</v>
      </c>
      <c r="L45" s="44">
        <v>1</v>
      </c>
      <c r="M45" s="44">
        <v>0</v>
      </c>
      <c r="N45" s="37">
        <v>9.9723985970556317E-2</v>
      </c>
      <c r="O45" s="39">
        <v>-0.17345314316790605</v>
      </c>
      <c r="P45" s="77">
        <v>0.65498046874999871</v>
      </c>
      <c r="Q45" s="44">
        <v>1</v>
      </c>
      <c r="R45" s="68">
        <v>0</v>
      </c>
    </row>
    <row r="46" spans="7:20" x14ac:dyDescent="0.25">
      <c r="G46" t="s">
        <v>79</v>
      </c>
      <c r="H46" s="51" t="s">
        <v>78</v>
      </c>
      <c r="I46" s="37">
        <v>6.2981965428514863E-2</v>
      </c>
      <c r="J46" s="39">
        <v>-0.20503778515043336</v>
      </c>
      <c r="K46" s="77">
        <v>0.65400390624999882</v>
      </c>
      <c r="L46" s="44">
        <v>1</v>
      </c>
      <c r="M46" s="44">
        <v>0</v>
      </c>
      <c r="N46" s="37">
        <v>5.7366057111709834E-2</v>
      </c>
      <c r="O46" s="39">
        <v>-0.25582721681676646</v>
      </c>
      <c r="P46" s="77">
        <v>0.82929687499999893</v>
      </c>
      <c r="Q46" s="44">
        <v>1</v>
      </c>
      <c r="R46" s="68">
        <v>0</v>
      </c>
      <c r="T46" t="s">
        <v>424</v>
      </c>
    </row>
    <row r="47" spans="7:20" x14ac:dyDescent="0.25">
      <c r="G47" t="s">
        <v>81</v>
      </c>
      <c r="H47" s="51" t="s">
        <v>80</v>
      </c>
      <c r="I47" s="37">
        <v>0.16081300799999987</v>
      </c>
      <c r="J47" s="39">
        <v>-0.49403087437716797</v>
      </c>
      <c r="K47" s="77">
        <v>0.65302734374999882</v>
      </c>
      <c r="L47" s="44">
        <v>1</v>
      </c>
      <c r="M47" s="44">
        <v>0</v>
      </c>
      <c r="N47" s="37">
        <v>0.14430993376425816</v>
      </c>
      <c r="O47" s="39">
        <v>-0.42766136203891525</v>
      </c>
      <c r="P47" s="77">
        <v>0.66279296874999882</v>
      </c>
      <c r="Q47" s="44">
        <v>1</v>
      </c>
      <c r="R47" s="68">
        <v>0</v>
      </c>
      <c r="T47" t="s">
        <v>425</v>
      </c>
    </row>
    <row r="48" spans="7:20" x14ac:dyDescent="0.25">
      <c r="G48" t="s">
        <v>83</v>
      </c>
      <c r="H48" s="53" t="s">
        <v>82</v>
      </c>
      <c r="I48" s="56">
        <v>9.3068772640227504E-2</v>
      </c>
      <c r="J48" s="58">
        <v>-0.29305459917493915</v>
      </c>
      <c r="K48" s="78">
        <v>0.57714843749999867</v>
      </c>
      <c r="L48" s="44">
        <v>1</v>
      </c>
      <c r="M48" s="44">
        <v>0</v>
      </c>
      <c r="N48" s="56">
        <v>8.3517798605147631E-2</v>
      </c>
      <c r="O48" s="58">
        <v>-0.29548606222640672</v>
      </c>
      <c r="P48" s="78">
        <v>0.62783203124999876</v>
      </c>
      <c r="Q48" s="44">
        <v>1</v>
      </c>
      <c r="R48" s="68">
        <v>0</v>
      </c>
      <c r="T48" t="s">
        <v>426</v>
      </c>
    </row>
    <row r="49" spans="7:20" x14ac:dyDescent="0.25">
      <c r="G49" t="s">
        <v>84</v>
      </c>
      <c r="H49" s="70" t="s">
        <v>100</v>
      </c>
      <c r="I49" s="111">
        <v>5.5062511999999897E-2</v>
      </c>
      <c r="J49" s="112">
        <v>-0.38677235327121995</v>
      </c>
      <c r="K49" s="43">
        <f>MEDIAN($K$21:$K$48)</f>
        <v>0.6409667968749988</v>
      </c>
      <c r="L49" s="44">
        <v>1</v>
      </c>
      <c r="M49" s="44">
        <v>0</v>
      </c>
      <c r="N49" s="111">
        <v>4.9407698901685615E-2</v>
      </c>
      <c r="O49" s="112">
        <v>-0.349826437112851</v>
      </c>
      <c r="P49" s="43">
        <f>MEDIAN(P21:P48)</f>
        <v>0.65820312499999878</v>
      </c>
      <c r="Q49" s="44">
        <v>1</v>
      </c>
      <c r="R49" s="68">
        <v>0</v>
      </c>
      <c r="T49" t="s">
        <v>427</v>
      </c>
    </row>
    <row r="50" spans="7:20" x14ac:dyDescent="0.25">
      <c r="G50" t="s">
        <v>85</v>
      </c>
      <c r="H50" s="52" t="s">
        <v>101</v>
      </c>
      <c r="I50" s="90">
        <v>0.17205271806221822</v>
      </c>
      <c r="J50" s="113">
        <v>-0.19245567725513146</v>
      </c>
      <c r="K50" s="50">
        <f t="shared" ref="K50:K64" si="16">MEDIAN($K$21:$K$48)</f>
        <v>0.6409667968749988</v>
      </c>
      <c r="L50" s="44">
        <v>1</v>
      </c>
      <c r="M50" s="44">
        <v>0</v>
      </c>
      <c r="N50" s="90">
        <v>0.15439619379247782</v>
      </c>
      <c r="O50" s="113">
        <v>-0.17270534506290347</v>
      </c>
      <c r="P50" s="50">
        <f t="shared" ref="P50:P64" si="17">MEDIAN(P22:P49)</f>
        <v>0.65820312499999878</v>
      </c>
      <c r="Q50" s="44">
        <v>1</v>
      </c>
      <c r="R50" s="68">
        <v>0</v>
      </c>
    </row>
    <row r="51" spans="7:20" x14ac:dyDescent="0.25">
      <c r="G51" t="s">
        <v>86</v>
      </c>
      <c r="H51" s="52" t="s">
        <v>102</v>
      </c>
      <c r="I51" s="90">
        <v>0</v>
      </c>
      <c r="J51" s="113">
        <v>-0.27435672225408092</v>
      </c>
      <c r="K51" s="50">
        <f t="shared" si="16"/>
        <v>0.6409667968749988</v>
      </c>
      <c r="L51" s="44">
        <v>1</v>
      </c>
      <c r="M51" s="44">
        <v>0</v>
      </c>
      <c r="N51" s="90">
        <v>0</v>
      </c>
      <c r="O51" s="113">
        <v>-0.24620147902628231</v>
      </c>
      <c r="P51" s="50">
        <f t="shared" si="17"/>
        <v>0.65820312499999878</v>
      </c>
      <c r="Q51" s="44">
        <v>1</v>
      </c>
      <c r="R51" s="68">
        <v>0</v>
      </c>
      <c r="T51" t="s">
        <v>428</v>
      </c>
    </row>
    <row r="52" spans="7:20" x14ac:dyDescent="0.25">
      <c r="G52" t="s">
        <v>87</v>
      </c>
      <c r="H52" s="52" t="s">
        <v>103</v>
      </c>
      <c r="I52" s="90">
        <v>0</v>
      </c>
      <c r="J52" s="113">
        <v>-0.27435672225408092</v>
      </c>
      <c r="K52" s="50">
        <f t="shared" si="16"/>
        <v>0.6409667968749988</v>
      </c>
      <c r="L52" s="44">
        <v>1</v>
      </c>
      <c r="M52" s="44">
        <v>0</v>
      </c>
      <c r="N52" s="90">
        <v>0</v>
      </c>
      <c r="O52" s="113">
        <v>-0.24620147902628231</v>
      </c>
      <c r="P52" s="50">
        <f t="shared" si="17"/>
        <v>0.65820312499999878</v>
      </c>
      <c r="Q52" s="44">
        <v>1</v>
      </c>
      <c r="R52" s="68">
        <v>0</v>
      </c>
      <c r="T52" t="s">
        <v>429</v>
      </c>
    </row>
    <row r="53" spans="7:20" x14ac:dyDescent="0.25">
      <c r="G53" t="s">
        <v>88</v>
      </c>
      <c r="H53" s="52" t="s">
        <v>104</v>
      </c>
      <c r="I53" s="90">
        <v>3.2209498927338709E-2</v>
      </c>
      <c r="J53" s="113">
        <v>-0.27435672225408092</v>
      </c>
      <c r="K53" s="50">
        <f t="shared" si="16"/>
        <v>0.6409667968749988</v>
      </c>
      <c r="L53" s="44">
        <v>1</v>
      </c>
      <c r="M53" s="44">
        <v>0</v>
      </c>
      <c r="N53" s="90">
        <v>2.8904071347164884E-2</v>
      </c>
      <c r="O53" s="113">
        <v>-0.24620147902628231</v>
      </c>
      <c r="P53" s="50">
        <f t="shared" si="17"/>
        <v>0.65820312499999878</v>
      </c>
      <c r="Q53" s="44">
        <v>1</v>
      </c>
      <c r="R53" s="68">
        <v>0</v>
      </c>
      <c r="T53" t="s">
        <v>430</v>
      </c>
    </row>
    <row r="54" spans="7:20" x14ac:dyDescent="0.25">
      <c r="G54" t="s">
        <v>89</v>
      </c>
      <c r="H54" s="52" t="s">
        <v>105</v>
      </c>
      <c r="I54" s="90">
        <v>0</v>
      </c>
      <c r="J54" s="113">
        <v>-0.27435672225408092</v>
      </c>
      <c r="K54" s="50">
        <f t="shared" si="16"/>
        <v>0.6409667968749988</v>
      </c>
      <c r="L54" s="44">
        <v>1</v>
      </c>
      <c r="M54" s="44">
        <v>0</v>
      </c>
      <c r="N54" s="90">
        <v>0</v>
      </c>
      <c r="O54" s="113">
        <v>-0.24620147902628231</v>
      </c>
      <c r="P54" s="50">
        <f t="shared" si="17"/>
        <v>0.65820312499999878</v>
      </c>
      <c r="Q54" s="44">
        <v>1</v>
      </c>
      <c r="R54" s="68">
        <v>0</v>
      </c>
      <c r="T54" t="s">
        <v>431</v>
      </c>
    </row>
    <row r="55" spans="7:20" x14ac:dyDescent="0.25">
      <c r="G55" t="s">
        <v>90</v>
      </c>
      <c r="H55" s="52" t="s">
        <v>106</v>
      </c>
      <c r="I55" s="90">
        <v>0.44251945807257753</v>
      </c>
      <c r="J55" s="113">
        <v>0.14824548862577158</v>
      </c>
      <c r="K55" s="50">
        <f t="shared" si="16"/>
        <v>0.6409667968749988</v>
      </c>
      <c r="L55" s="44">
        <v>1</v>
      </c>
      <c r="M55" s="44">
        <v>0</v>
      </c>
      <c r="N55" s="90">
        <v>0.3971068912774085</v>
      </c>
      <c r="O55" s="113">
        <v>0.13303212787634178</v>
      </c>
      <c r="P55" s="50">
        <f t="shared" si="17"/>
        <v>0.65820312499999878</v>
      </c>
      <c r="Q55" s="44">
        <v>1</v>
      </c>
      <c r="R55" s="68">
        <v>0</v>
      </c>
      <c r="T55" t="s">
        <v>432</v>
      </c>
    </row>
    <row r="56" spans="7:20" x14ac:dyDescent="0.25">
      <c r="G56" t="s">
        <v>91</v>
      </c>
      <c r="H56" s="52" t="s">
        <v>107</v>
      </c>
      <c r="I56" s="90">
        <v>-2.7015527421952679E-2</v>
      </c>
      <c r="J56" s="113">
        <v>-0.27512656792935486</v>
      </c>
      <c r="K56" s="50">
        <f t="shared" si="16"/>
        <v>0.6409667968749988</v>
      </c>
      <c r="L56" s="44">
        <v>1</v>
      </c>
      <c r="M56" s="44">
        <v>0</v>
      </c>
      <c r="N56" s="90">
        <v>-2.4243119517225242E-2</v>
      </c>
      <c r="O56" s="113">
        <v>-0.24689232101592717</v>
      </c>
      <c r="P56" s="50">
        <f t="shared" si="17"/>
        <v>0.65820312499999878</v>
      </c>
      <c r="Q56" s="44">
        <v>1</v>
      </c>
      <c r="R56" s="68">
        <v>0</v>
      </c>
      <c r="T56" t="s">
        <v>433</v>
      </c>
    </row>
    <row r="57" spans="7:20" x14ac:dyDescent="0.25">
      <c r="G57" t="s">
        <v>92</v>
      </c>
      <c r="H57" s="52" t="s">
        <v>108</v>
      </c>
      <c r="I57" s="90">
        <v>0</v>
      </c>
      <c r="J57" s="113">
        <v>-0.27435672225408092</v>
      </c>
      <c r="K57" s="50">
        <f t="shared" si="16"/>
        <v>0.6409667968749988</v>
      </c>
      <c r="L57" s="44">
        <v>1</v>
      </c>
      <c r="M57" s="44">
        <v>0</v>
      </c>
      <c r="N57" s="90">
        <v>0</v>
      </c>
      <c r="O57" s="113">
        <v>-0.24620147902628231</v>
      </c>
      <c r="P57" s="50">
        <f t="shared" si="17"/>
        <v>0.65820312499999878</v>
      </c>
      <c r="Q57" s="44">
        <v>1</v>
      </c>
      <c r="R57" s="68">
        <v>0</v>
      </c>
    </row>
    <row r="58" spans="7:20" x14ac:dyDescent="0.25">
      <c r="G58" t="s">
        <v>93</v>
      </c>
      <c r="H58" s="52" t="s">
        <v>109</v>
      </c>
      <c r="I58" s="90">
        <v>5.1445945208842048E-2</v>
      </c>
      <c r="J58" s="113">
        <v>-0.21772421676462161</v>
      </c>
      <c r="K58" s="50">
        <f t="shared" si="16"/>
        <v>0.6409667968749988</v>
      </c>
      <c r="L58" s="44">
        <v>1</v>
      </c>
      <c r="M58" s="44">
        <v>0</v>
      </c>
      <c r="N58" s="90">
        <v>4.6166420477177228E-2</v>
      </c>
      <c r="O58" s="113">
        <v>-0.19538075738361604</v>
      </c>
      <c r="P58" s="50">
        <f t="shared" si="17"/>
        <v>0.65820312499999878</v>
      </c>
      <c r="Q58" s="44">
        <v>1</v>
      </c>
      <c r="R58" s="68">
        <v>0</v>
      </c>
      <c r="T58" t="s">
        <v>434</v>
      </c>
    </row>
    <row r="59" spans="7:20" x14ac:dyDescent="0.25">
      <c r="G59" t="s">
        <v>94</v>
      </c>
      <c r="H59" s="52" t="s">
        <v>110</v>
      </c>
      <c r="I59" s="90">
        <v>0</v>
      </c>
      <c r="J59" s="113">
        <v>-0.27435672225408092</v>
      </c>
      <c r="K59" s="50">
        <f t="shared" si="16"/>
        <v>0.6409667968749988</v>
      </c>
      <c r="L59" s="44">
        <v>1</v>
      </c>
      <c r="M59" s="44">
        <v>0</v>
      </c>
      <c r="N59" s="90">
        <v>0</v>
      </c>
      <c r="O59" s="113">
        <v>-0.24620147902628231</v>
      </c>
      <c r="P59" s="50">
        <f t="shared" si="17"/>
        <v>0.65820312499999878</v>
      </c>
      <c r="Q59" s="44">
        <v>1</v>
      </c>
      <c r="R59" s="68">
        <v>0</v>
      </c>
      <c r="T59" t="s">
        <v>435</v>
      </c>
    </row>
    <row r="60" spans="7:20" x14ac:dyDescent="0.25">
      <c r="G60" t="s">
        <v>95</v>
      </c>
      <c r="H60" s="52" t="s">
        <v>111</v>
      </c>
      <c r="I60" s="90">
        <v>0</v>
      </c>
      <c r="J60" s="113">
        <v>-0.27435672225408092</v>
      </c>
      <c r="K60" s="50">
        <f t="shared" si="16"/>
        <v>0.6409667968749988</v>
      </c>
      <c r="L60" s="44">
        <v>1</v>
      </c>
      <c r="M60" s="44">
        <v>0</v>
      </c>
      <c r="N60" s="90">
        <v>0</v>
      </c>
      <c r="O60" s="113">
        <v>-0.24620147902628231</v>
      </c>
      <c r="P60" s="50">
        <f t="shared" si="17"/>
        <v>0.65820312499999878</v>
      </c>
      <c r="Q60" s="44">
        <v>1</v>
      </c>
      <c r="R60" s="68">
        <v>0</v>
      </c>
      <c r="T60" t="s">
        <v>436</v>
      </c>
    </row>
    <row r="61" spans="7:20" x14ac:dyDescent="0.25">
      <c r="G61" t="s">
        <v>96</v>
      </c>
      <c r="H61" s="52" t="s">
        <v>112</v>
      </c>
      <c r="I61" s="90">
        <v>2.6515381787925785E-2</v>
      </c>
      <c r="J61" s="113">
        <v>-0.24243164824051067</v>
      </c>
      <c r="K61" s="50">
        <f t="shared" si="16"/>
        <v>0.6409667968749988</v>
      </c>
      <c r="L61" s="44">
        <v>1</v>
      </c>
      <c r="M61" s="44">
        <v>0</v>
      </c>
      <c r="N61" s="90">
        <v>2.3794300207042651E-2</v>
      </c>
      <c r="O61" s="113">
        <v>-0.21755264412408737</v>
      </c>
      <c r="P61" s="50">
        <f t="shared" si="17"/>
        <v>0.65820312499999878</v>
      </c>
      <c r="Q61" s="44">
        <v>1</v>
      </c>
      <c r="R61" s="68">
        <v>0</v>
      </c>
    </row>
    <row r="62" spans="7:20" x14ac:dyDescent="0.25">
      <c r="G62" t="s">
        <v>97</v>
      </c>
      <c r="H62" s="52" t="s">
        <v>113</v>
      </c>
      <c r="I62" s="90">
        <v>0.19705521506759016</v>
      </c>
      <c r="J62" s="113">
        <v>-6.8691042677414771E-2</v>
      </c>
      <c r="K62" s="50">
        <f t="shared" si="16"/>
        <v>0.6409667968749988</v>
      </c>
      <c r="L62" s="44">
        <v>1</v>
      </c>
      <c r="M62" s="44">
        <v>0</v>
      </c>
      <c r="N62" s="90">
        <v>0.17683286562431322</v>
      </c>
      <c r="O62" s="113">
        <v>-6.1641778499507804E-2</v>
      </c>
      <c r="P62" s="50">
        <f t="shared" si="17"/>
        <v>0.65820312499999878</v>
      </c>
      <c r="Q62" s="44">
        <v>1</v>
      </c>
      <c r="R62" s="68">
        <v>0</v>
      </c>
    </row>
    <row r="63" spans="7:20" x14ac:dyDescent="0.25">
      <c r="G63" t="s">
        <v>98</v>
      </c>
      <c r="H63" s="52" t="s">
        <v>114</v>
      </c>
      <c r="I63" s="90">
        <v>0.19320758531722682</v>
      </c>
      <c r="J63" s="113">
        <v>-0.12060600962120394</v>
      </c>
      <c r="K63" s="50">
        <f t="shared" si="16"/>
        <v>0.6409667968749988</v>
      </c>
      <c r="L63" s="44">
        <v>1</v>
      </c>
      <c r="M63" s="44">
        <v>0</v>
      </c>
      <c r="N63" s="90">
        <v>0.17338009024668755</v>
      </c>
      <c r="O63" s="113">
        <v>-0.10822908840811818</v>
      </c>
      <c r="P63" s="50">
        <f t="shared" si="17"/>
        <v>0.65820312499999878</v>
      </c>
      <c r="Q63" s="44">
        <v>1</v>
      </c>
      <c r="R63" s="68">
        <v>0</v>
      </c>
    </row>
    <row r="64" spans="7:20" x14ac:dyDescent="0.25">
      <c r="G64" t="s">
        <v>99</v>
      </c>
      <c r="H64" s="66" t="s">
        <v>115</v>
      </c>
      <c r="I64" s="93">
        <v>0</v>
      </c>
      <c r="J64" s="92">
        <v>-0.27435672225408092</v>
      </c>
      <c r="K64" s="63">
        <f t="shared" si="16"/>
        <v>0.6409667968749988</v>
      </c>
      <c r="L64" s="71">
        <v>1</v>
      </c>
      <c r="M64" s="72">
        <v>0</v>
      </c>
      <c r="N64" s="93">
        <v>0</v>
      </c>
      <c r="O64" s="92">
        <v>-0.24620147902628231</v>
      </c>
      <c r="P64" s="63">
        <f t="shared" si="17"/>
        <v>0.65820312499999878</v>
      </c>
      <c r="Q64" s="71">
        <v>1</v>
      </c>
      <c r="R64" s="72">
        <v>0</v>
      </c>
    </row>
  </sheetData>
  <mergeCells count="23">
    <mergeCell ref="C8:C9"/>
    <mergeCell ref="D8:D9"/>
    <mergeCell ref="E8:G8"/>
    <mergeCell ref="H8:H9"/>
    <mergeCell ref="I8:J8"/>
    <mergeCell ref="V8:W8"/>
    <mergeCell ref="I18:M18"/>
    <mergeCell ref="N18:R18"/>
    <mergeCell ref="H6:P6"/>
    <mergeCell ref="Q6:U6"/>
    <mergeCell ref="V6:W6"/>
    <mergeCell ref="K8:L8"/>
    <mergeCell ref="M8:N8"/>
    <mergeCell ref="Q19:R19"/>
    <mergeCell ref="O8:P8"/>
    <mergeCell ref="Q8:Q9"/>
    <mergeCell ref="R8:S8"/>
    <mergeCell ref="T8:U8"/>
    <mergeCell ref="I19:J19"/>
    <mergeCell ref="K19:K20"/>
    <mergeCell ref="L19:M19"/>
    <mergeCell ref="N19:O19"/>
    <mergeCell ref="P19:P20"/>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64"/>
  <sheetViews>
    <sheetView zoomScale="70" zoomScaleNormal="70" workbookViewId="0"/>
  </sheetViews>
  <sheetFormatPr defaultRowHeight="15" x14ac:dyDescent="0.25"/>
  <cols>
    <col min="2" max="2" width="10.85546875" bestFit="1" customWidth="1"/>
  </cols>
  <sheetData>
    <row r="2" spans="2:25" x14ac:dyDescent="0.25">
      <c r="H2" s="100" t="s">
        <v>128</v>
      </c>
      <c r="I2" s="346">
        <f>IF(AND($B$5="GR",$B$6="HH-HP"),0.548,IF(AND($B$5="GR",$B$6="NFC-RE"),0.43,0.3))</f>
        <v>0.3</v>
      </c>
      <c r="K2" t="s">
        <v>129</v>
      </c>
    </row>
    <row r="3" spans="2:25" x14ac:dyDescent="0.25">
      <c r="K3" t="s">
        <v>130</v>
      </c>
    </row>
    <row r="5" spans="2:25" x14ac:dyDescent="0.25">
      <c r="B5" s="20" t="str">
        <f>VLOOKUP('CR Path Generator'!$D$9,Lists!$F$4:$G$48,2,FALSE)</f>
        <v>DK</v>
      </c>
    </row>
    <row r="6" spans="2:25" x14ac:dyDescent="0.25">
      <c r="B6" s="20" t="str">
        <f>VLOOKUP('CR Path Generator'!$C$9,Lists!$C$4:$D$9,2,FALSE)</f>
        <v>NFC-RE</v>
      </c>
      <c r="H6" s="431" t="s">
        <v>131</v>
      </c>
      <c r="I6" s="432"/>
      <c r="J6" s="432"/>
      <c r="K6" s="432"/>
      <c r="L6" s="432"/>
      <c r="M6" s="432"/>
      <c r="N6" s="432"/>
      <c r="O6" s="432"/>
      <c r="P6" s="433"/>
      <c r="Q6" s="418" t="s">
        <v>132</v>
      </c>
      <c r="R6" s="419"/>
      <c r="S6" s="419"/>
      <c r="T6" s="419"/>
      <c r="U6" s="420"/>
      <c r="V6" s="423" t="s">
        <v>133</v>
      </c>
      <c r="W6" s="424"/>
    </row>
    <row r="8" spans="2:25" x14ac:dyDescent="0.25">
      <c r="C8" s="425" t="s">
        <v>134</v>
      </c>
      <c r="D8" s="427" t="s">
        <v>135</v>
      </c>
      <c r="E8" s="411" t="s">
        <v>15</v>
      </c>
      <c r="F8" s="412"/>
      <c r="G8" s="413"/>
      <c r="H8" s="427" t="s">
        <v>136</v>
      </c>
      <c r="I8" s="411" t="s">
        <v>137</v>
      </c>
      <c r="J8" s="413"/>
      <c r="K8" s="412" t="s">
        <v>138</v>
      </c>
      <c r="L8" s="413"/>
      <c r="M8" s="411" t="s">
        <v>139</v>
      </c>
      <c r="N8" s="413"/>
      <c r="O8" s="411" t="s">
        <v>16</v>
      </c>
      <c r="P8" s="413"/>
      <c r="Q8" s="421" t="s">
        <v>140</v>
      </c>
      <c r="R8" s="411" t="s">
        <v>139</v>
      </c>
      <c r="S8" s="413"/>
      <c r="T8" s="411" t="s">
        <v>16</v>
      </c>
      <c r="U8" s="413"/>
      <c r="V8" s="411" t="s">
        <v>16</v>
      </c>
      <c r="W8" s="413"/>
    </row>
    <row r="9" spans="2:25" x14ac:dyDescent="0.25">
      <c r="B9" s="73"/>
      <c r="C9" s="426"/>
      <c r="D9" s="428"/>
      <c r="E9" s="13" t="s">
        <v>144</v>
      </c>
      <c r="F9" s="14" t="s">
        <v>142</v>
      </c>
      <c r="G9" s="15" t="s">
        <v>143</v>
      </c>
      <c r="H9" s="428"/>
      <c r="I9" s="13" t="s">
        <v>145</v>
      </c>
      <c r="J9" s="15" t="s">
        <v>140</v>
      </c>
      <c r="K9" s="14" t="s">
        <v>145</v>
      </c>
      <c r="L9" s="15" t="s">
        <v>140</v>
      </c>
      <c r="M9" s="13" t="s">
        <v>142</v>
      </c>
      <c r="N9" s="15" t="s">
        <v>143</v>
      </c>
      <c r="O9" s="13" t="s">
        <v>142</v>
      </c>
      <c r="P9" s="15" t="s">
        <v>143</v>
      </c>
      <c r="Q9" s="422"/>
      <c r="R9" s="13" t="s">
        <v>142</v>
      </c>
      <c r="S9" s="15" t="s">
        <v>143</v>
      </c>
      <c r="T9" s="13" t="s">
        <v>142</v>
      </c>
      <c r="U9" s="15" t="s">
        <v>143</v>
      </c>
      <c r="V9" s="13" t="s">
        <v>142</v>
      </c>
      <c r="W9" s="15" t="s">
        <v>143</v>
      </c>
    </row>
    <row r="10" spans="2:25" x14ac:dyDescent="0.25">
      <c r="B10" s="95" t="s">
        <v>118</v>
      </c>
      <c r="C10" s="189">
        <f>'CR Path Generator'!C44</f>
        <v>0.25</v>
      </c>
      <c r="D10" s="190">
        <f>'CR Path Generator'!C42</f>
        <v>0.3</v>
      </c>
      <c r="E10" s="190">
        <f>'CR Path Generator'!C43</f>
        <v>0.8</v>
      </c>
      <c r="F10" s="80">
        <f>$E10/(1+VLOOKUP($B$5,$H$21:$J$64,2,FALSE))</f>
        <v>0.7386874482313277</v>
      </c>
      <c r="G10" s="75">
        <f>$E10/(1+VLOOKUP($B$5,$H$21:$J$64,3,FALSE))</f>
        <v>1.1129326056646844</v>
      </c>
      <c r="H10" s="81">
        <f>VLOOKUP($B$5,$H$21:$K$64,4,FALSE)</f>
        <v>0.63330078124999878</v>
      </c>
      <c r="I10" s="40">
        <f>1-_xlfn.NORM.DIST(F10,H10,$I$2,1)</f>
        <v>0.36268581452302628</v>
      </c>
      <c r="J10" s="41">
        <f>MIN(F10*I10+0.5*H10*ERF(H10/(SQRT(2)*$I$2))+($I$2/SQRT(2*PI()))*EXP(-(H10^2/(2*$I$2^2)))-0.5*H10*ERF((H10-F10)/(SQRT(2)*$I$2))-($I$2/SQRT(2*PI()))*EXP(-((H10-F10)^2/(2*$I$2^2))),H10)</f>
        <v>0.56088411075842437</v>
      </c>
      <c r="K10" s="42">
        <f>1-_xlfn.NORM.DIST(G10,H10,$I$2,1)</f>
        <v>5.4935553214127353E-2</v>
      </c>
      <c r="L10" s="41">
        <f>MIN(G10*K10+0.5*H10*ERF(H10/(SQRT(2)*$I$2))+($I$2/SQRT(2*PI()))*EXP(-(H10^2/(2*$I$2^2)))-0.5*H10*ERF((H10-G10)/(SQRT(2)*$I$2))-($I$2/SQRT(2*PI()))*EXP(-((H10-G10)^2/(2*$I$2^2))),H10)</f>
        <v>0.62819030987632007</v>
      </c>
      <c r="M10" s="74">
        <f>MAX(0,(F10-J10)/F10)</f>
        <v>0.24070171748366076</v>
      </c>
      <c r="N10" s="75">
        <f>MAX(0,(G10-L10)/G10)</f>
        <v>0.43555404282441557</v>
      </c>
      <c r="O10" s="82">
        <f>MIN(1,(1-D10)*M10+0.05)</f>
        <v>0.2184912022385625</v>
      </c>
      <c r="P10" s="41">
        <f>MIN(1,(1-D10*0.75)*N10+0.05)</f>
        <v>0.38755438318892205</v>
      </c>
      <c r="Q10" s="43">
        <f>E10-(((C10-0.05)*E10)/(1-D10))</f>
        <v>0.5714285714285714</v>
      </c>
      <c r="R10" s="74">
        <f>MAX(0,(F10-Q10)/F10)</f>
        <v>0.22642712720140526</v>
      </c>
      <c r="S10" s="75">
        <f>MAX(0,(G10-Q10)/G10)</f>
        <v>0.48655599762279123</v>
      </c>
      <c r="T10" s="82">
        <f>MIN(1,(1-D10)*R10+0.05)</f>
        <v>0.20849898904098368</v>
      </c>
      <c r="U10" s="41">
        <f>MIN(1,(1-D10*0.75)*S10+0.05)</f>
        <v>0.4270808981576632</v>
      </c>
      <c r="V10" s="83">
        <f>MAX(0,MIN(1,VLOOKUP($B$5,$H$21:$M$64,5,FALSE)*O10+VLOOKUP($B$5,$H$21:$M$64,6,FALSE)*T10))</f>
        <v>0.2184912022385625</v>
      </c>
      <c r="W10" s="84">
        <f>MIN(1,MAX(C10,VLOOKUP($B$5,$H$21:$M$64,5,FALSE)*P10+VLOOKUP($B$5,$H$21:$M$64,6,FALSE)*U10))</f>
        <v>0.38755438318892205</v>
      </c>
    </row>
    <row r="11" spans="2:25" x14ac:dyDescent="0.25">
      <c r="B11" s="96" t="s">
        <v>24</v>
      </c>
      <c r="C11" s="54">
        <f>C10</f>
        <v>0.25</v>
      </c>
      <c r="D11" s="55">
        <f t="shared" ref="D11:E16" si="0">D10</f>
        <v>0.3</v>
      </c>
      <c r="E11" s="55">
        <f t="shared" si="0"/>
        <v>0.8</v>
      </c>
      <c r="F11" s="57">
        <f>$E10/(1+VLOOKUP($B$5,$H$21:$O$64,7,FALSE))</f>
        <v>0.74454334032761216</v>
      </c>
      <c r="G11" s="58">
        <f>$E10/(1+VLOOKUP($B$5,$H$21:$O$64,8,FALSE))</f>
        <v>1.1590674086194019</v>
      </c>
      <c r="H11" s="86">
        <f>VLOOKUP($B$5,$H$21:$P$64,9,FALSE)</f>
        <v>0.65820312499999878</v>
      </c>
      <c r="I11" s="59">
        <f t="shared" ref="I11" si="1">1-_xlfn.NORM.DIST(F11,H11,$I$2,1)</f>
        <v>0.38674964395555289</v>
      </c>
      <c r="J11" s="60">
        <f t="shared" ref="J11" si="2">MIN(F11*I11+0.5*H11*ERF(H11/(SQRT(2)*$I$2))+($I$2/SQRT(2*PI()))*EXP(-(H11^2/(2*$I$2^2)))-0.5*H11*ERF((H11-F11)/(SQRT(2)*$I$2))-($I$2/SQRT(2*PI()))*EXP(-((H11-F11)^2/(2*$I$2^2))),H11)</f>
        <v>0.57825914328291317</v>
      </c>
      <c r="K11" s="61">
        <f t="shared" ref="K11" si="3">1-_xlfn.NORM.DIST(G11,H11,$I$2,1)</f>
        <v>4.7504451400191772E-2</v>
      </c>
      <c r="L11" s="60">
        <f t="shared" ref="L11" si="4">MIN(G11*K11+0.5*H11*ERF(H11/(SQRT(2)*$I$2))+($I$2/SQRT(2*PI()))*EXP(-(H11^2/(2*$I$2^2)))-0.5*H11*ERF((H11-G11)/(SQRT(2)*$I$2))-($I$2/SQRT(2*PI()))*EXP(-((H11-G11)^2/(2*$I$2^2))),H11)</f>
        <v>0.65378761725966783</v>
      </c>
      <c r="M11" s="56">
        <f t="shared" ref="M11" si="5">MAX(0,(F11-J11)/F11)</f>
        <v>0.22333716257744113</v>
      </c>
      <c r="N11" s="58">
        <f t="shared" ref="N11" si="6">MAX(0,(G11-L11)/G11)</f>
        <v>0.4359365017101009</v>
      </c>
      <c r="O11" s="62">
        <f t="shared" ref="O11" si="7">MIN(1,(1-D11)*M11+0.05)</f>
        <v>0.2063360138042088</v>
      </c>
      <c r="P11" s="60">
        <f t="shared" ref="P11" si="8">MIN(1,(1-D11*0.75)*N11+0.05)</f>
        <v>0.3878507888253282</v>
      </c>
      <c r="Q11" s="63">
        <f t="shared" ref="Q11" si="9">E11-(((C11-0.05)*E11)/(1-D11))</f>
        <v>0.5714285714285714</v>
      </c>
      <c r="R11" s="56">
        <f t="shared" ref="R11" si="10">MAX(0,(F11-Q11)/F11)</f>
        <v>0.2325113388602297</v>
      </c>
      <c r="S11" s="58">
        <f t="shared" ref="S11" si="11">MAX(0,(G11-Q11)/G11)</f>
        <v>0.50699280544069802</v>
      </c>
      <c r="T11" s="62">
        <f t="shared" ref="T11" si="12">MIN(1,(1-D11)*R11+0.05)</f>
        <v>0.2127579372021608</v>
      </c>
      <c r="U11" s="60">
        <f t="shared" ref="U11" si="13">MIN(1,(1-D11*0.75)*S11+0.05)</f>
        <v>0.44291942421654096</v>
      </c>
      <c r="V11" s="64">
        <f>MAX(0,MIN(1,VLOOKUP($B$5,$H$21:$R$64,10,FALSE)*O11+VLOOKUP($B$5,$H$21:$R$64,11,FALSE)*T11))</f>
        <v>0.2063360138042088</v>
      </c>
      <c r="W11" s="65">
        <f>MIN(1,MAX(C10,VLOOKUP($B$5,$H$21:$R$64,10,FALSE)*P11+VLOOKUP($B$5,$H$21:$R$64,11,FALSE)*U11))</f>
        <v>0.3878507888253282</v>
      </c>
    </row>
    <row r="12" spans="2:25" x14ac:dyDescent="0.25">
      <c r="B12" s="96" t="s">
        <v>25</v>
      </c>
      <c r="C12" s="35">
        <f t="shared" ref="C12:C16" si="14">C11</f>
        <v>0.25</v>
      </c>
      <c r="D12" s="36">
        <f t="shared" si="0"/>
        <v>0.3</v>
      </c>
      <c r="E12" s="36">
        <f t="shared" si="0"/>
        <v>0.8</v>
      </c>
      <c r="F12" s="38" t="s">
        <v>151</v>
      </c>
      <c r="G12" s="39" t="s">
        <v>151</v>
      </c>
      <c r="H12" s="85" t="s">
        <v>151</v>
      </c>
      <c r="I12" s="48" t="s">
        <v>151</v>
      </c>
      <c r="J12" s="89" t="s">
        <v>151</v>
      </c>
      <c r="K12" s="49" t="s">
        <v>151</v>
      </c>
      <c r="L12" s="89" t="s">
        <v>151</v>
      </c>
      <c r="M12" s="90" t="s">
        <v>151</v>
      </c>
      <c r="N12" s="89" t="s">
        <v>151</v>
      </c>
      <c r="O12" s="90" t="s">
        <v>151</v>
      </c>
      <c r="P12" s="89" t="s">
        <v>151</v>
      </c>
      <c r="Q12" s="91" t="s">
        <v>151</v>
      </c>
      <c r="R12" s="90" t="s">
        <v>151</v>
      </c>
      <c r="S12" s="89" t="s">
        <v>151</v>
      </c>
      <c r="T12" s="90" t="s">
        <v>151</v>
      </c>
      <c r="U12" s="89" t="s">
        <v>151</v>
      </c>
      <c r="V12" s="45">
        <f>C12</f>
        <v>0.25</v>
      </c>
      <c r="W12" s="46">
        <f>MIN(1,1.15*C12)</f>
        <v>0.28749999999999998</v>
      </c>
    </row>
    <row r="13" spans="2:25" x14ac:dyDescent="0.25">
      <c r="B13" s="96" t="s">
        <v>119</v>
      </c>
      <c r="C13" s="35">
        <f t="shared" si="14"/>
        <v>0.25</v>
      </c>
      <c r="D13" s="36">
        <f t="shared" si="0"/>
        <v>0.3</v>
      </c>
      <c r="E13" s="36">
        <f t="shared" si="0"/>
        <v>0.8</v>
      </c>
      <c r="F13" s="38" t="s">
        <v>151</v>
      </c>
      <c r="G13" s="39" t="s">
        <v>151</v>
      </c>
      <c r="H13" s="85" t="s">
        <v>151</v>
      </c>
      <c r="I13" s="48" t="s">
        <v>151</v>
      </c>
      <c r="J13" s="89" t="s">
        <v>151</v>
      </c>
      <c r="K13" s="49" t="s">
        <v>151</v>
      </c>
      <c r="L13" s="89" t="s">
        <v>151</v>
      </c>
      <c r="M13" s="90" t="s">
        <v>151</v>
      </c>
      <c r="N13" s="89" t="s">
        <v>151</v>
      </c>
      <c r="O13" s="90" t="s">
        <v>151</v>
      </c>
      <c r="P13" s="89" t="s">
        <v>151</v>
      </c>
      <c r="Q13" s="91" t="s">
        <v>151</v>
      </c>
      <c r="R13" s="90" t="s">
        <v>151</v>
      </c>
      <c r="S13" s="89" t="s">
        <v>151</v>
      </c>
      <c r="T13" s="90" t="s">
        <v>151</v>
      </c>
      <c r="U13" s="89" t="s">
        <v>151</v>
      </c>
      <c r="V13" s="45">
        <f t="shared" ref="V13:V14" si="15">C13</f>
        <v>0.25</v>
      </c>
      <c r="W13" s="46">
        <f>MIN(1,1.15*C13)</f>
        <v>0.28749999999999998</v>
      </c>
    </row>
    <row r="14" spans="2:25" x14ac:dyDescent="0.25">
      <c r="B14" s="96" t="s">
        <v>120</v>
      </c>
      <c r="C14" s="35">
        <f t="shared" si="14"/>
        <v>0.25</v>
      </c>
      <c r="D14" s="36">
        <f t="shared" si="0"/>
        <v>0.3</v>
      </c>
      <c r="E14" s="36">
        <f t="shared" si="0"/>
        <v>0.8</v>
      </c>
      <c r="F14" s="38" t="s">
        <v>151</v>
      </c>
      <c r="G14" s="39" t="s">
        <v>151</v>
      </c>
      <c r="H14" s="85" t="s">
        <v>151</v>
      </c>
      <c r="I14" s="48" t="s">
        <v>151</v>
      </c>
      <c r="J14" s="89" t="s">
        <v>151</v>
      </c>
      <c r="K14" s="49" t="s">
        <v>151</v>
      </c>
      <c r="L14" s="89" t="s">
        <v>151</v>
      </c>
      <c r="M14" s="90" t="s">
        <v>151</v>
      </c>
      <c r="N14" s="89" t="s">
        <v>151</v>
      </c>
      <c r="O14" s="90" t="s">
        <v>151</v>
      </c>
      <c r="P14" s="89" t="s">
        <v>151</v>
      </c>
      <c r="Q14" s="91" t="s">
        <v>151</v>
      </c>
      <c r="R14" s="90" t="s">
        <v>151</v>
      </c>
      <c r="S14" s="89" t="s">
        <v>151</v>
      </c>
      <c r="T14" s="90" t="s">
        <v>151</v>
      </c>
      <c r="U14" s="89" t="s">
        <v>151</v>
      </c>
      <c r="V14" s="45">
        <f t="shared" si="15"/>
        <v>0.25</v>
      </c>
      <c r="W14" s="46">
        <f>MIN(1,1.15*C14)</f>
        <v>0.28749999999999998</v>
      </c>
    </row>
    <row r="15" spans="2:25" x14ac:dyDescent="0.25">
      <c r="B15" s="97" t="s">
        <v>150</v>
      </c>
      <c r="C15" s="54">
        <f t="shared" si="14"/>
        <v>0.25</v>
      </c>
      <c r="D15" s="55">
        <f t="shared" si="0"/>
        <v>0.3</v>
      </c>
      <c r="E15" s="55">
        <f t="shared" si="0"/>
        <v>0.8</v>
      </c>
      <c r="F15" s="57" t="s">
        <v>151</v>
      </c>
      <c r="G15" s="58" t="s">
        <v>151</v>
      </c>
      <c r="H15" s="86" t="s">
        <v>151</v>
      </c>
      <c r="I15" s="59" t="s">
        <v>151</v>
      </c>
      <c r="J15" s="92" t="s">
        <v>151</v>
      </c>
      <c r="K15" s="61" t="s">
        <v>151</v>
      </c>
      <c r="L15" s="92" t="s">
        <v>151</v>
      </c>
      <c r="M15" s="93" t="s">
        <v>151</v>
      </c>
      <c r="N15" s="92" t="s">
        <v>151</v>
      </c>
      <c r="O15" s="93" t="s">
        <v>151</v>
      </c>
      <c r="P15" s="92" t="s">
        <v>151</v>
      </c>
      <c r="Q15" s="94" t="s">
        <v>151</v>
      </c>
      <c r="R15" s="93" t="s">
        <v>151</v>
      </c>
      <c r="S15" s="92" t="s">
        <v>151</v>
      </c>
      <c r="T15" s="93" t="s">
        <v>151</v>
      </c>
      <c r="U15" s="92" t="s">
        <v>151</v>
      </c>
      <c r="V15" s="64">
        <v>0.4</v>
      </c>
      <c r="W15" s="65">
        <v>0.4</v>
      </c>
    </row>
    <row r="16" spans="2:25" x14ac:dyDescent="0.25">
      <c r="B16" s="98" t="s">
        <v>153</v>
      </c>
      <c r="C16" s="54">
        <f t="shared" si="14"/>
        <v>0.25</v>
      </c>
      <c r="D16" s="55">
        <f t="shared" si="0"/>
        <v>0.3</v>
      </c>
      <c r="E16" s="55">
        <f t="shared" si="0"/>
        <v>0.8</v>
      </c>
      <c r="F16" s="57" t="s">
        <v>151</v>
      </c>
      <c r="G16" s="58" t="s">
        <v>151</v>
      </c>
      <c r="H16" s="86" t="s">
        <v>151</v>
      </c>
      <c r="I16" s="59" t="s">
        <v>151</v>
      </c>
      <c r="J16" s="92" t="s">
        <v>151</v>
      </c>
      <c r="K16" s="61" t="s">
        <v>151</v>
      </c>
      <c r="L16" s="92" t="s">
        <v>151</v>
      </c>
      <c r="M16" s="93" t="s">
        <v>151</v>
      </c>
      <c r="N16" s="92" t="s">
        <v>151</v>
      </c>
      <c r="O16" s="93" t="s">
        <v>151</v>
      </c>
      <c r="P16" s="92" t="s">
        <v>151</v>
      </c>
      <c r="Q16" s="94" t="s">
        <v>151</v>
      </c>
      <c r="R16" s="93" t="s">
        <v>151</v>
      </c>
      <c r="S16" s="92" t="s">
        <v>151</v>
      </c>
      <c r="T16" s="93" t="s">
        <v>151</v>
      </c>
      <c r="U16" s="92" t="s">
        <v>151</v>
      </c>
      <c r="V16" s="88">
        <f>VLOOKUP($B$6,$B$10:$W$15,21,FALSE)</f>
        <v>0.2063360138042088</v>
      </c>
      <c r="W16" s="87">
        <f>VLOOKUP($B$6,$B$10:$W$15,22,FALSE)</f>
        <v>0.3878507888253282</v>
      </c>
      <c r="X16" s="26">
        <f>V16/C16</f>
        <v>0.82534405521683518</v>
      </c>
      <c r="Y16" s="28">
        <f>W16/C16</f>
        <v>1.5514031553013128</v>
      </c>
    </row>
    <row r="18" spans="2:20" x14ac:dyDescent="0.25">
      <c r="B18" s="69"/>
      <c r="I18" s="408" t="s">
        <v>148</v>
      </c>
      <c r="J18" s="409"/>
      <c r="K18" s="409"/>
      <c r="L18" s="409"/>
      <c r="M18" s="410"/>
      <c r="N18" s="408" t="s">
        <v>149</v>
      </c>
      <c r="O18" s="409"/>
      <c r="P18" s="409"/>
      <c r="Q18" s="409"/>
      <c r="R18" s="410"/>
      <c r="T18" t="s">
        <v>406</v>
      </c>
    </row>
    <row r="19" spans="2:20" x14ac:dyDescent="0.25">
      <c r="B19" s="69"/>
      <c r="I19" s="429" t="s">
        <v>154</v>
      </c>
      <c r="J19" s="430"/>
      <c r="K19" s="427" t="s">
        <v>136</v>
      </c>
      <c r="L19" s="411" t="s">
        <v>141</v>
      </c>
      <c r="M19" s="413"/>
      <c r="N19" s="429" t="s">
        <v>155</v>
      </c>
      <c r="O19" s="430"/>
      <c r="P19" s="427" t="s">
        <v>136</v>
      </c>
      <c r="Q19" s="411" t="s">
        <v>141</v>
      </c>
      <c r="R19" s="413"/>
    </row>
    <row r="20" spans="2:20" x14ac:dyDescent="0.25">
      <c r="B20" s="69"/>
      <c r="I20" s="32" t="s">
        <v>142</v>
      </c>
      <c r="J20" s="33" t="s">
        <v>143</v>
      </c>
      <c r="K20" s="428"/>
      <c r="L20" s="100" t="s">
        <v>146</v>
      </c>
      <c r="M20" s="101" t="s">
        <v>147</v>
      </c>
      <c r="N20" s="32" t="s">
        <v>142</v>
      </c>
      <c r="O20" s="33" t="s">
        <v>143</v>
      </c>
      <c r="P20" s="428"/>
      <c r="Q20" s="100" t="s">
        <v>146</v>
      </c>
      <c r="R20" s="101" t="s">
        <v>147</v>
      </c>
      <c r="T20" t="s">
        <v>307</v>
      </c>
    </row>
    <row r="21" spans="2:20" x14ac:dyDescent="0.25">
      <c r="B21" s="69"/>
      <c r="G21" t="s">
        <v>30</v>
      </c>
      <c r="H21" s="34" t="s">
        <v>29</v>
      </c>
      <c r="I21" s="74">
        <v>5.8406039130669107E-2</v>
      </c>
      <c r="J21" s="75">
        <v>-0.28884779382151193</v>
      </c>
      <c r="K21" s="76">
        <v>0.53876953124999871</v>
      </c>
      <c r="L21" s="44">
        <v>1</v>
      </c>
      <c r="M21" s="44">
        <v>0</v>
      </c>
      <c r="N21" s="74">
        <v>4.8003655276378066E-2</v>
      </c>
      <c r="O21" s="75">
        <v>-0.26884278459279587</v>
      </c>
      <c r="P21" s="76">
        <v>0.63017578124999873</v>
      </c>
      <c r="Q21" s="79">
        <v>1</v>
      </c>
      <c r="R21" s="67">
        <v>0</v>
      </c>
      <c r="T21" t="s">
        <v>407</v>
      </c>
    </row>
    <row r="22" spans="2:20" x14ac:dyDescent="0.25">
      <c r="B22" s="69"/>
      <c r="G22" t="s">
        <v>32</v>
      </c>
      <c r="H22" s="47" t="s">
        <v>31</v>
      </c>
      <c r="I22" s="37">
        <v>0.3222697391275049</v>
      </c>
      <c r="J22" s="39">
        <v>-5.1660647312816721E-3</v>
      </c>
      <c r="K22" s="77">
        <v>0.63330078124999878</v>
      </c>
      <c r="L22" s="44">
        <v>1</v>
      </c>
      <c r="M22" s="44">
        <v>0</v>
      </c>
      <c r="N22" s="37">
        <v>0.28919753001395887</v>
      </c>
      <c r="O22" s="39">
        <v>-4.3311834826350593E-2</v>
      </c>
      <c r="P22" s="77">
        <v>0.65820312499999878</v>
      </c>
      <c r="Q22" s="44">
        <v>1</v>
      </c>
      <c r="R22" s="68">
        <v>0</v>
      </c>
    </row>
    <row r="23" spans="2:20" x14ac:dyDescent="0.25">
      <c r="B23" s="69"/>
      <c r="G23" t="s">
        <v>34</v>
      </c>
      <c r="H23" s="47" t="s">
        <v>33</v>
      </c>
      <c r="I23" s="37">
        <v>0.31249920901329697</v>
      </c>
      <c r="J23" s="39">
        <v>-5.8990028111744031E-2</v>
      </c>
      <c r="K23" s="77">
        <v>0.67871093749999889</v>
      </c>
      <c r="L23" s="44">
        <v>1</v>
      </c>
      <c r="M23" s="44">
        <v>0</v>
      </c>
      <c r="N23" s="37">
        <v>0.29040332922222722</v>
      </c>
      <c r="O23" s="39">
        <v>-9.3531120406841417E-2</v>
      </c>
      <c r="P23" s="77">
        <v>0.6890624999999988</v>
      </c>
      <c r="Q23" s="44">
        <v>1</v>
      </c>
      <c r="R23" s="68">
        <v>0</v>
      </c>
      <c r="T23" t="s">
        <v>309</v>
      </c>
    </row>
    <row r="24" spans="2:20" x14ac:dyDescent="0.25">
      <c r="B24" s="69"/>
      <c r="G24" t="s">
        <v>36</v>
      </c>
      <c r="H24" s="47" t="s">
        <v>35</v>
      </c>
      <c r="I24" s="37">
        <v>8.3002021918032742E-2</v>
      </c>
      <c r="J24" s="39">
        <v>-0.28117839667190758</v>
      </c>
      <c r="K24" s="77">
        <v>0.63330078124999878</v>
      </c>
      <c r="L24" s="44">
        <v>1</v>
      </c>
      <c r="M24" s="44">
        <v>0</v>
      </c>
      <c r="N24" s="37">
        <v>7.4484125595678519E-2</v>
      </c>
      <c r="O24" s="39">
        <v>-0.30978992761697721</v>
      </c>
      <c r="P24" s="77">
        <v>0.65820312499999878</v>
      </c>
      <c r="Q24" s="44">
        <v>1</v>
      </c>
      <c r="R24" s="68">
        <v>0</v>
      </c>
      <c r="T24" t="s">
        <v>310</v>
      </c>
    </row>
    <row r="25" spans="2:20" x14ac:dyDescent="0.25">
      <c r="B25" s="69"/>
      <c r="G25" t="s">
        <v>38</v>
      </c>
      <c r="H25" s="47" t="s">
        <v>37</v>
      </c>
      <c r="I25" s="37">
        <v>0.13147646833087245</v>
      </c>
      <c r="J25" s="39">
        <v>-0.17288558543154686</v>
      </c>
      <c r="K25" s="77">
        <v>0.70966796874999882</v>
      </c>
      <c r="L25" s="44">
        <v>1</v>
      </c>
      <c r="M25" s="44">
        <v>0</v>
      </c>
      <c r="N25" s="37">
        <v>0.11975311567047431</v>
      </c>
      <c r="O25" s="39">
        <v>-0.19106250251755885</v>
      </c>
      <c r="P25" s="77">
        <v>0.69277343749999887</v>
      </c>
      <c r="Q25" s="44">
        <v>1</v>
      </c>
      <c r="R25" s="68">
        <v>0</v>
      </c>
    </row>
    <row r="26" spans="2:20" x14ac:dyDescent="0.25">
      <c r="B26" s="69"/>
      <c r="G26" t="s">
        <v>40</v>
      </c>
      <c r="H26" s="47" t="s">
        <v>39</v>
      </c>
      <c r="I26" s="37">
        <v>0.20061162811423583</v>
      </c>
      <c r="J26" s="39">
        <v>-0.37595044663040278</v>
      </c>
      <c r="K26" s="77">
        <v>0.63330078124999878</v>
      </c>
      <c r="L26" s="44">
        <v>1</v>
      </c>
      <c r="M26" s="44">
        <v>0</v>
      </c>
      <c r="N26" s="37">
        <v>0.18272370570487162</v>
      </c>
      <c r="O26" s="39">
        <v>-0.34790981175259028</v>
      </c>
      <c r="P26" s="77">
        <v>0.65820312499999878</v>
      </c>
      <c r="Q26" s="44">
        <v>1</v>
      </c>
      <c r="R26" s="68">
        <v>0</v>
      </c>
      <c r="T26" t="s">
        <v>408</v>
      </c>
    </row>
    <row r="27" spans="2:20" x14ac:dyDescent="0.25">
      <c r="G27" t="s">
        <v>42</v>
      </c>
      <c r="H27" s="47" t="s">
        <v>41</v>
      </c>
      <c r="I27" s="37">
        <v>0.18416329305616697</v>
      </c>
      <c r="J27" s="39">
        <v>-5.0719436734475987E-2</v>
      </c>
      <c r="K27" s="77">
        <v>0.72207031249999887</v>
      </c>
      <c r="L27" s="44">
        <v>1</v>
      </c>
      <c r="M27" s="44">
        <v>0</v>
      </c>
      <c r="N27" s="37">
        <v>0.17265250587254433</v>
      </c>
      <c r="O27" s="39">
        <v>-8.2728887003374108E-2</v>
      </c>
      <c r="P27" s="77">
        <v>0.70058593749999887</v>
      </c>
      <c r="Q27" s="44">
        <v>1</v>
      </c>
      <c r="R27" s="68">
        <v>0</v>
      </c>
      <c r="T27" t="s">
        <v>409</v>
      </c>
    </row>
    <row r="28" spans="2:20" x14ac:dyDescent="0.25">
      <c r="G28" t="s">
        <v>44</v>
      </c>
      <c r="H28" s="47" t="s">
        <v>43</v>
      </c>
      <c r="I28" s="37">
        <v>9.9747805581902327E-3</v>
      </c>
      <c r="J28" s="39">
        <v>-0.16597193074334871</v>
      </c>
      <c r="K28" s="77">
        <v>0.75</v>
      </c>
      <c r="L28" s="44">
        <v>1</v>
      </c>
      <c r="M28" s="44">
        <v>0</v>
      </c>
      <c r="N28" s="37">
        <v>9.0853600278222313E-3</v>
      </c>
      <c r="O28" s="39">
        <v>-0.16632801213306214</v>
      </c>
      <c r="P28" s="77">
        <v>0.75</v>
      </c>
      <c r="Q28" s="44">
        <v>1</v>
      </c>
      <c r="R28" s="68">
        <v>0</v>
      </c>
      <c r="T28" t="s">
        <v>410</v>
      </c>
    </row>
    <row r="29" spans="2:20" x14ac:dyDescent="0.25">
      <c r="G29" t="s">
        <v>46</v>
      </c>
      <c r="H29" s="47" t="s">
        <v>45</v>
      </c>
      <c r="I29" s="37">
        <v>0.15499639255244424</v>
      </c>
      <c r="J29" s="39">
        <v>-0.14334811490606469</v>
      </c>
      <c r="K29" s="77">
        <v>0.47441406249999862</v>
      </c>
      <c r="L29" s="44">
        <v>1</v>
      </c>
      <c r="M29" s="44">
        <v>0</v>
      </c>
      <c r="N29" s="37">
        <v>0.13669960605797615</v>
      </c>
      <c r="O29" s="39">
        <v>-0.16052735536433216</v>
      </c>
      <c r="P29" s="77">
        <v>0.44863281249999853</v>
      </c>
      <c r="Q29" s="44">
        <v>1</v>
      </c>
      <c r="R29" s="68">
        <v>0</v>
      </c>
      <c r="T29" t="s">
        <v>411</v>
      </c>
    </row>
    <row r="30" spans="2:20" x14ac:dyDescent="0.25">
      <c r="G30" t="s">
        <v>48</v>
      </c>
      <c r="H30" s="47" t="s">
        <v>47</v>
      </c>
      <c r="I30" s="37">
        <v>0.11394568477126898</v>
      </c>
      <c r="J30" s="39">
        <v>-0.16860927930579084</v>
      </c>
      <c r="K30" s="77">
        <v>0.64160156249999878</v>
      </c>
      <c r="L30" s="44">
        <v>1</v>
      </c>
      <c r="M30" s="44">
        <v>0</v>
      </c>
      <c r="N30" s="37">
        <v>0.10268971760093315</v>
      </c>
      <c r="O30" s="39">
        <v>-0.20022948038055521</v>
      </c>
      <c r="P30" s="77">
        <v>0.75419921874999885</v>
      </c>
      <c r="Q30" s="44">
        <v>1</v>
      </c>
      <c r="R30" s="68">
        <v>0</v>
      </c>
      <c r="T30" t="s">
        <v>412</v>
      </c>
    </row>
    <row r="31" spans="2:20" x14ac:dyDescent="0.25">
      <c r="G31" t="s">
        <v>50</v>
      </c>
      <c r="H31" s="47" t="s">
        <v>49</v>
      </c>
      <c r="I31" s="37">
        <v>6.1077118351501536E-2</v>
      </c>
      <c r="J31" s="39">
        <v>-0.12093295277767369</v>
      </c>
      <c r="K31" s="77">
        <v>0.65986328124999882</v>
      </c>
      <c r="L31" s="44">
        <v>1</v>
      </c>
      <c r="M31" s="44">
        <v>0</v>
      </c>
      <c r="N31" s="37">
        <v>5.4809216079192868E-2</v>
      </c>
      <c r="O31" s="39">
        <v>-0.14016675623887809</v>
      </c>
      <c r="P31" s="77">
        <v>0.77812499999999885</v>
      </c>
      <c r="Q31" s="44">
        <v>1</v>
      </c>
      <c r="R31" s="68">
        <v>0</v>
      </c>
      <c r="T31" t="s">
        <v>413</v>
      </c>
    </row>
    <row r="32" spans="2:20" x14ac:dyDescent="0.25">
      <c r="G32" t="s">
        <v>52</v>
      </c>
      <c r="H32" s="47" t="s">
        <v>51</v>
      </c>
      <c r="I32" s="37">
        <v>6.516510382925822E-2</v>
      </c>
      <c r="J32" s="39">
        <v>-0.11954014502899812</v>
      </c>
      <c r="K32" s="77">
        <v>0.58037109374999873</v>
      </c>
      <c r="L32" s="44">
        <v>1</v>
      </c>
      <c r="M32" s="44">
        <v>0</v>
      </c>
      <c r="N32" s="37">
        <v>5.9354531769935104E-2</v>
      </c>
      <c r="O32" s="39">
        <v>-0.1406617535907968</v>
      </c>
      <c r="P32" s="77">
        <v>0.51923828124999871</v>
      </c>
      <c r="Q32" s="44">
        <v>1</v>
      </c>
      <c r="R32" s="68">
        <v>0</v>
      </c>
      <c r="T32" t="s">
        <v>414</v>
      </c>
    </row>
    <row r="33" spans="7:20" x14ac:dyDescent="0.25">
      <c r="G33" t="s">
        <v>54</v>
      </c>
      <c r="H33" s="47" t="s">
        <v>53</v>
      </c>
      <c r="I33" s="37">
        <v>0.10359209780926948</v>
      </c>
      <c r="J33" s="39">
        <v>-0.10212694070834938</v>
      </c>
      <c r="K33" s="77">
        <v>0.63984374999999871</v>
      </c>
      <c r="L33" s="44">
        <v>1</v>
      </c>
      <c r="M33" s="44">
        <v>0</v>
      </c>
      <c r="N33" s="37">
        <v>9.4355108780994845E-2</v>
      </c>
      <c r="O33" s="39">
        <v>-0.1537574270707619</v>
      </c>
      <c r="P33" s="77">
        <v>0.59687499999999871</v>
      </c>
      <c r="Q33" s="44">
        <v>1</v>
      </c>
      <c r="R33" s="68">
        <v>0</v>
      </c>
      <c r="T33" t="s">
        <v>415</v>
      </c>
    </row>
    <row r="34" spans="7:20" x14ac:dyDescent="0.25">
      <c r="G34" t="s">
        <v>56</v>
      </c>
      <c r="H34" s="47" t="s">
        <v>55</v>
      </c>
      <c r="I34" s="37">
        <v>0.15768210405772232</v>
      </c>
      <c r="J34" s="39">
        <v>-0.36019429931760805</v>
      </c>
      <c r="K34" s="77">
        <v>0.65654296874999873</v>
      </c>
      <c r="L34" s="44">
        <v>1</v>
      </c>
      <c r="M34" s="44">
        <v>0</v>
      </c>
      <c r="N34" s="37">
        <v>0.14362207538817984</v>
      </c>
      <c r="O34" s="39">
        <v>-0.36238554276831791</v>
      </c>
      <c r="P34" s="77">
        <v>0.65820312499999878</v>
      </c>
      <c r="Q34" s="44">
        <v>1</v>
      </c>
      <c r="R34" s="68">
        <v>0</v>
      </c>
      <c r="T34" t="s">
        <v>416</v>
      </c>
    </row>
    <row r="35" spans="7:20" x14ac:dyDescent="0.25">
      <c r="G35" t="s">
        <v>58</v>
      </c>
      <c r="H35" s="47" t="s">
        <v>57</v>
      </c>
      <c r="I35" s="37">
        <v>0.14234490603433003</v>
      </c>
      <c r="J35" s="39">
        <v>-0.29874978583658218</v>
      </c>
      <c r="K35" s="77">
        <v>0.63330078124999878</v>
      </c>
      <c r="L35" s="44">
        <v>1</v>
      </c>
      <c r="M35" s="44">
        <v>0</v>
      </c>
      <c r="N35" s="37">
        <v>0.12965244818208466</v>
      </c>
      <c r="O35" s="39">
        <v>-0.30600075892227008</v>
      </c>
      <c r="P35" s="77">
        <v>0.65820312499999878</v>
      </c>
      <c r="Q35" s="44">
        <v>1</v>
      </c>
      <c r="R35" s="68">
        <v>0</v>
      </c>
      <c r="T35" t="s">
        <v>417</v>
      </c>
    </row>
    <row r="36" spans="7:20" x14ac:dyDescent="0.25">
      <c r="G36" t="s">
        <v>60</v>
      </c>
      <c r="H36" s="47" t="s">
        <v>59</v>
      </c>
      <c r="I36" s="37">
        <v>0.20052680017659652</v>
      </c>
      <c r="J36" s="39">
        <v>-0.29771699021220477</v>
      </c>
      <c r="K36" s="77">
        <v>0.63105468749999871</v>
      </c>
      <c r="L36" s="44">
        <v>1</v>
      </c>
      <c r="M36" s="44">
        <v>0</v>
      </c>
      <c r="N36" s="37">
        <v>0.18264644161375987</v>
      </c>
      <c r="O36" s="39">
        <v>-0.2366498743129386</v>
      </c>
      <c r="P36" s="77">
        <v>0.60253906249999867</v>
      </c>
      <c r="Q36" s="44">
        <v>1</v>
      </c>
      <c r="R36" s="68">
        <v>0</v>
      </c>
      <c r="T36" t="s">
        <v>418</v>
      </c>
    </row>
    <row r="37" spans="7:20" x14ac:dyDescent="0.25">
      <c r="G37" t="s">
        <v>62</v>
      </c>
      <c r="H37" s="51" t="s">
        <v>61</v>
      </c>
      <c r="I37" s="37">
        <v>0.4281688494153022</v>
      </c>
      <c r="J37" s="39">
        <v>-4.0353594687966288E-3</v>
      </c>
      <c r="K37" s="77">
        <v>0.48037109374999865</v>
      </c>
      <c r="L37" s="44">
        <v>1</v>
      </c>
      <c r="M37" s="44">
        <v>0</v>
      </c>
      <c r="N37" s="37">
        <v>0.33023407579972508</v>
      </c>
      <c r="O37" s="39">
        <v>-4.3019376679310106E-2</v>
      </c>
      <c r="P37" s="77">
        <v>0.61308593749999885</v>
      </c>
      <c r="Q37" s="44">
        <v>1</v>
      </c>
      <c r="R37" s="68">
        <v>0</v>
      </c>
      <c r="T37" t="s">
        <v>419</v>
      </c>
    </row>
    <row r="38" spans="7:20" x14ac:dyDescent="0.25">
      <c r="G38" t="s">
        <v>64</v>
      </c>
      <c r="H38" s="51" t="s">
        <v>63</v>
      </c>
      <c r="I38" s="37">
        <v>0.12829598065496906</v>
      </c>
      <c r="J38" s="39">
        <v>-0.35162334489399283</v>
      </c>
      <c r="K38" s="77">
        <v>0.64033203124999882</v>
      </c>
      <c r="L38" s="44">
        <v>1</v>
      </c>
      <c r="M38" s="44">
        <v>0</v>
      </c>
      <c r="N38" s="37">
        <v>0.11685622230715031</v>
      </c>
      <c r="O38" s="39">
        <v>-0.2576948068948397</v>
      </c>
      <c r="P38" s="77">
        <v>0.62031249999999882</v>
      </c>
      <c r="Q38" s="44">
        <v>1</v>
      </c>
      <c r="R38" s="68">
        <v>0</v>
      </c>
      <c r="T38" t="s">
        <v>420</v>
      </c>
    </row>
    <row r="39" spans="7:20" x14ac:dyDescent="0.25">
      <c r="G39" t="s">
        <v>66</v>
      </c>
      <c r="H39" s="51" t="s">
        <v>65</v>
      </c>
      <c r="I39" s="37">
        <v>0.17077377226132673</v>
      </c>
      <c r="J39" s="39">
        <v>-0.12463986791393411</v>
      </c>
      <c r="K39" s="77">
        <v>0.82695312499999896</v>
      </c>
      <c r="L39" s="44">
        <v>1</v>
      </c>
      <c r="M39" s="44">
        <v>0</v>
      </c>
      <c r="N39" s="37">
        <v>0.15910587640576845</v>
      </c>
      <c r="O39" s="39">
        <v>-0.15093987204107107</v>
      </c>
      <c r="P39" s="77">
        <v>0.72968749999999882</v>
      </c>
      <c r="Q39" s="44">
        <v>1</v>
      </c>
      <c r="R39" s="68">
        <v>0</v>
      </c>
      <c r="T39" t="s">
        <v>421</v>
      </c>
    </row>
    <row r="40" spans="7:20" x14ac:dyDescent="0.25">
      <c r="G40" t="s">
        <v>3</v>
      </c>
      <c r="H40" s="51" t="s">
        <v>67</v>
      </c>
      <c r="I40" s="37">
        <v>0.10112548899042495</v>
      </c>
      <c r="J40" s="39">
        <v>-0.33317777637224233</v>
      </c>
      <c r="K40" s="77">
        <v>0.68037109374999882</v>
      </c>
      <c r="L40" s="44">
        <v>1</v>
      </c>
      <c r="M40" s="44">
        <v>0</v>
      </c>
      <c r="N40" s="37">
        <v>9.42162214942599E-2</v>
      </c>
      <c r="O40" s="39">
        <v>-0.26324032482784332</v>
      </c>
      <c r="P40" s="77">
        <v>0.6880859374999988</v>
      </c>
      <c r="Q40" s="44">
        <v>1</v>
      </c>
      <c r="R40" s="68">
        <v>0</v>
      </c>
    </row>
    <row r="41" spans="7:20" x14ac:dyDescent="0.25">
      <c r="G41" t="s">
        <v>69</v>
      </c>
      <c r="H41" s="51" t="s">
        <v>68</v>
      </c>
      <c r="I41" s="37">
        <v>9.8550466258612746E-2</v>
      </c>
      <c r="J41" s="39">
        <v>-7.8990273676010525E-2</v>
      </c>
      <c r="K41" s="77">
        <v>0.50214843749999871</v>
      </c>
      <c r="L41" s="44">
        <v>1</v>
      </c>
      <c r="M41" s="44">
        <v>0</v>
      </c>
      <c r="N41" s="37">
        <v>8.8436945711612758E-2</v>
      </c>
      <c r="O41" s="39">
        <v>-0.10353718238982379</v>
      </c>
      <c r="P41" s="77">
        <v>0.55947265624999876</v>
      </c>
      <c r="Q41" s="44">
        <v>1</v>
      </c>
      <c r="R41" s="68">
        <v>0</v>
      </c>
      <c r="T41" t="s">
        <v>422</v>
      </c>
    </row>
    <row r="42" spans="7:20" x14ac:dyDescent="0.25">
      <c r="G42" t="s">
        <v>71</v>
      </c>
      <c r="H42" s="51" t="s">
        <v>70</v>
      </c>
      <c r="I42" s="37">
        <v>0.12492619755114154</v>
      </c>
      <c r="J42" s="39">
        <v>-0.11324755690494959</v>
      </c>
      <c r="K42" s="77">
        <v>0.61064453124999885</v>
      </c>
      <c r="L42" s="44">
        <v>1</v>
      </c>
      <c r="M42" s="44">
        <v>0</v>
      </c>
      <c r="N42" s="37">
        <v>0.12116801903375451</v>
      </c>
      <c r="O42" s="39">
        <v>-0.14347574972225186</v>
      </c>
      <c r="P42" s="77">
        <v>0.58994140624999869</v>
      </c>
      <c r="Q42" s="44">
        <v>1</v>
      </c>
      <c r="R42" s="68">
        <v>0</v>
      </c>
      <c r="T42" t="s">
        <v>129</v>
      </c>
    </row>
    <row r="43" spans="7:20" x14ac:dyDescent="0.25">
      <c r="G43" t="s">
        <v>73</v>
      </c>
      <c r="H43" s="51" t="s">
        <v>72</v>
      </c>
      <c r="I43" s="37">
        <v>0.20350429080689758</v>
      </c>
      <c r="J43" s="39">
        <v>-8.1574636187516592E-2</v>
      </c>
      <c r="K43" s="77">
        <v>0.67617187499999887</v>
      </c>
      <c r="L43" s="44">
        <v>1</v>
      </c>
      <c r="M43" s="44">
        <v>0</v>
      </c>
      <c r="N43" s="37">
        <v>0.18262011943141832</v>
      </c>
      <c r="O43" s="39">
        <v>-0.10868182570701346</v>
      </c>
      <c r="P43" s="77">
        <v>0.65087890624999878</v>
      </c>
      <c r="Q43" s="44">
        <v>1</v>
      </c>
      <c r="R43" s="68">
        <v>0</v>
      </c>
      <c r="T43" t="s">
        <v>130</v>
      </c>
    </row>
    <row r="44" spans="7:20" x14ac:dyDescent="0.25">
      <c r="G44" t="s">
        <v>75</v>
      </c>
      <c r="H44" s="51" t="s">
        <v>74</v>
      </c>
      <c r="I44" s="37">
        <v>0.18677399615935264</v>
      </c>
      <c r="J44" s="39">
        <v>-0.11599063054406766</v>
      </c>
      <c r="K44" s="77">
        <v>0.66249999999999876</v>
      </c>
      <c r="L44" s="44">
        <v>1</v>
      </c>
      <c r="M44" s="44">
        <v>0</v>
      </c>
      <c r="N44" s="37">
        <v>0.17011993286904881</v>
      </c>
      <c r="O44" s="39">
        <v>-0.14075170043797891</v>
      </c>
      <c r="P44" s="77">
        <v>0.63789062499999882</v>
      </c>
      <c r="Q44" s="44">
        <v>1</v>
      </c>
      <c r="R44" s="68">
        <v>0</v>
      </c>
      <c r="T44" t="s">
        <v>423</v>
      </c>
    </row>
    <row r="45" spans="7:20" x14ac:dyDescent="0.25">
      <c r="G45" t="s">
        <v>77</v>
      </c>
      <c r="H45" s="51" t="s">
        <v>76</v>
      </c>
      <c r="I45" s="37">
        <v>0.10948656667409673</v>
      </c>
      <c r="J45" s="39">
        <v>-0.14019276095114919</v>
      </c>
      <c r="K45" s="77">
        <v>0.72187499999999893</v>
      </c>
      <c r="L45" s="44">
        <v>1</v>
      </c>
      <c r="M45" s="44">
        <v>0</v>
      </c>
      <c r="N45" s="37">
        <v>9.9723985970556317E-2</v>
      </c>
      <c r="O45" s="39">
        <v>-0.17345314316790605</v>
      </c>
      <c r="P45" s="77">
        <v>0.65498046874999871</v>
      </c>
      <c r="Q45" s="44">
        <v>1</v>
      </c>
      <c r="R45" s="68">
        <v>0</v>
      </c>
    </row>
    <row r="46" spans="7:20" x14ac:dyDescent="0.25">
      <c r="G46" t="s">
        <v>79</v>
      </c>
      <c r="H46" s="51" t="s">
        <v>78</v>
      </c>
      <c r="I46" s="37">
        <v>6.2981965428514863E-2</v>
      </c>
      <c r="J46" s="39">
        <v>-0.20503778515043336</v>
      </c>
      <c r="K46" s="77">
        <v>0.65400390624999882</v>
      </c>
      <c r="L46" s="44">
        <v>1</v>
      </c>
      <c r="M46" s="44">
        <v>0</v>
      </c>
      <c r="N46" s="37">
        <v>5.7366057111709834E-2</v>
      </c>
      <c r="O46" s="39">
        <v>-0.25582721681676646</v>
      </c>
      <c r="P46" s="77">
        <v>0.82929687499999893</v>
      </c>
      <c r="Q46" s="44">
        <v>1</v>
      </c>
      <c r="R46" s="68">
        <v>0</v>
      </c>
      <c r="T46" t="s">
        <v>424</v>
      </c>
    </row>
    <row r="47" spans="7:20" x14ac:dyDescent="0.25">
      <c r="G47" t="s">
        <v>81</v>
      </c>
      <c r="H47" s="51" t="s">
        <v>80</v>
      </c>
      <c r="I47" s="37">
        <v>0.16081300799999987</v>
      </c>
      <c r="J47" s="39">
        <v>-0.49403087437716797</v>
      </c>
      <c r="K47" s="77">
        <v>0.65302734374999882</v>
      </c>
      <c r="L47" s="44">
        <v>1</v>
      </c>
      <c r="M47" s="44">
        <v>0</v>
      </c>
      <c r="N47" s="37">
        <v>0.14430993376425816</v>
      </c>
      <c r="O47" s="39">
        <v>-0.42766136203891525</v>
      </c>
      <c r="P47" s="77">
        <v>0.66279296874999882</v>
      </c>
      <c r="Q47" s="44">
        <v>1</v>
      </c>
      <c r="R47" s="68">
        <v>0</v>
      </c>
      <c r="T47" t="s">
        <v>425</v>
      </c>
    </row>
    <row r="48" spans="7:20" x14ac:dyDescent="0.25">
      <c r="G48" t="s">
        <v>83</v>
      </c>
      <c r="H48" s="53" t="s">
        <v>82</v>
      </c>
      <c r="I48" s="56">
        <v>9.3068772640227504E-2</v>
      </c>
      <c r="J48" s="58">
        <v>-0.29305459917493915</v>
      </c>
      <c r="K48" s="78">
        <v>0.57714843749999867</v>
      </c>
      <c r="L48" s="44">
        <v>1</v>
      </c>
      <c r="M48" s="44">
        <v>0</v>
      </c>
      <c r="N48" s="56">
        <v>8.3517798605147631E-2</v>
      </c>
      <c r="O48" s="58">
        <v>-0.29548606222640672</v>
      </c>
      <c r="P48" s="78">
        <v>0.62783203124999876</v>
      </c>
      <c r="Q48" s="44">
        <v>1</v>
      </c>
      <c r="R48" s="68">
        <v>0</v>
      </c>
      <c r="T48" t="s">
        <v>426</v>
      </c>
    </row>
    <row r="49" spans="7:20" x14ac:dyDescent="0.25">
      <c r="G49" t="s">
        <v>84</v>
      </c>
      <c r="H49" s="70" t="s">
        <v>100</v>
      </c>
      <c r="I49" s="111">
        <v>5.5062511999999897E-2</v>
      </c>
      <c r="J49" s="112">
        <v>-0.38677235327121995</v>
      </c>
      <c r="K49" s="43">
        <f>MEDIAN($K$21:$K$48)</f>
        <v>0.6409667968749988</v>
      </c>
      <c r="L49" s="44">
        <v>1</v>
      </c>
      <c r="M49" s="44">
        <v>0</v>
      </c>
      <c r="N49" s="111">
        <v>4.9407698901685615E-2</v>
      </c>
      <c r="O49" s="112">
        <v>-0.349826437112851</v>
      </c>
      <c r="P49" s="43">
        <f>MEDIAN(P21:P48)</f>
        <v>0.65820312499999878</v>
      </c>
      <c r="Q49" s="44">
        <v>1</v>
      </c>
      <c r="R49" s="68">
        <v>0</v>
      </c>
      <c r="T49" t="s">
        <v>427</v>
      </c>
    </row>
    <row r="50" spans="7:20" x14ac:dyDescent="0.25">
      <c r="G50" t="s">
        <v>85</v>
      </c>
      <c r="H50" s="52" t="s">
        <v>101</v>
      </c>
      <c r="I50" s="90">
        <v>0.17205271806221822</v>
      </c>
      <c r="J50" s="113">
        <v>-0.19245567725513146</v>
      </c>
      <c r="K50" s="50">
        <f t="shared" ref="K50:K64" si="16">MEDIAN($K$21:$K$48)</f>
        <v>0.6409667968749988</v>
      </c>
      <c r="L50" s="44">
        <v>1</v>
      </c>
      <c r="M50" s="44">
        <v>0</v>
      </c>
      <c r="N50" s="90">
        <v>0.15439619379247782</v>
      </c>
      <c r="O50" s="113">
        <v>-0.17270534506290347</v>
      </c>
      <c r="P50" s="50">
        <f t="shared" ref="P50:P64" si="17">MEDIAN(P22:P49)</f>
        <v>0.65820312499999878</v>
      </c>
      <c r="Q50" s="44">
        <v>1</v>
      </c>
      <c r="R50" s="68">
        <v>0</v>
      </c>
    </row>
    <row r="51" spans="7:20" x14ac:dyDescent="0.25">
      <c r="G51" t="s">
        <v>86</v>
      </c>
      <c r="H51" s="52" t="s">
        <v>102</v>
      </c>
      <c r="I51" s="90">
        <v>0</v>
      </c>
      <c r="J51" s="113">
        <v>-0.27435672225408092</v>
      </c>
      <c r="K51" s="50">
        <f t="shared" si="16"/>
        <v>0.6409667968749988</v>
      </c>
      <c r="L51" s="44">
        <v>1</v>
      </c>
      <c r="M51" s="44">
        <v>0</v>
      </c>
      <c r="N51" s="90">
        <v>0</v>
      </c>
      <c r="O51" s="113">
        <v>-0.24620147902628231</v>
      </c>
      <c r="P51" s="50">
        <f t="shared" si="17"/>
        <v>0.65820312499999878</v>
      </c>
      <c r="Q51" s="44">
        <v>1</v>
      </c>
      <c r="R51" s="68">
        <v>0</v>
      </c>
      <c r="T51" t="s">
        <v>428</v>
      </c>
    </row>
    <row r="52" spans="7:20" x14ac:dyDescent="0.25">
      <c r="G52" t="s">
        <v>87</v>
      </c>
      <c r="H52" s="52" t="s">
        <v>103</v>
      </c>
      <c r="I52" s="90">
        <v>0</v>
      </c>
      <c r="J52" s="113">
        <v>-0.27435672225408092</v>
      </c>
      <c r="K52" s="50">
        <f t="shared" si="16"/>
        <v>0.6409667968749988</v>
      </c>
      <c r="L52" s="44">
        <v>1</v>
      </c>
      <c r="M52" s="44">
        <v>0</v>
      </c>
      <c r="N52" s="90">
        <v>0</v>
      </c>
      <c r="O52" s="113">
        <v>-0.24620147902628231</v>
      </c>
      <c r="P52" s="50">
        <f t="shared" si="17"/>
        <v>0.65820312499999878</v>
      </c>
      <c r="Q52" s="44">
        <v>1</v>
      </c>
      <c r="R52" s="68">
        <v>0</v>
      </c>
      <c r="T52" t="s">
        <v>429</v>
      </c>
    </row>
    <row r="53" spans="7:20" x14ac:dyDescent="0.25">
      <c r="G53" t="s">
        <v>88</v>
      </c>
      <c r="H53" s="52" t="s">
        <v>104</v>
      </c>
      <c r="I53" s="90">
        <v>3.2209498927338709E-2</v>
      </c>
      <c r="J53" s="113">
        <v>-0.27435672225408092</v>
      </c>
      <c r="K53" s="50">
        <f t="shared" si="16"/>
        <v>0.6409667968749988</v>
      </c>
      <c r="L53" s="44">
        <v>1</v>
      </c>
      <c r="M53" s="44">
        <v>0</v>
      </c>
      <c r="N53" s="90">
        <v>2.8904071347164884E-2</v>
      </c>
      <c r="O53" s="113">
        <v>-0.24620147902628231</v>
      </c>
      <c r="P53" s="50">
        <f t="shared" si="17"/>
        <v>0.65820312499999878</v>
      </c>
      <c r="Q53" s="44">
        <v>1</v>
      </c>
      <c r="R53" s="68">
        <v>0</v>
      </c>
      <c r="T53" t="s">
        <v>430</v>
      </c>
    </row>
    <row r="54" spans="7:20" x14ac:dyDescent="0.25">
      <c r="G54" t="s">
        <v>89</v>
      </c>
      <c r="H54" s="52" t="s">
        <v>105</v>
      </c>
      <c r="I54" s="90">
        <v>0</v>
      </c>
      <c r="J54" s="113">
        <v>-0.27435672225408092</v>
      </c>
      <c r="K54" s="50">
        <f t="shared" si="16"/>
        <v>0.6409667968749988</v>
      </c>
      <c r="L54" s="44">
        <v>1</v>
      </c>
      <c r="M54" s="44">
        <v>0</v>
      </c>
      <c r="N54" s="90">
        <v>0</v>
      </c>
      <c r="O54" s="113">
        <v>-0.24620147902628231</v>
      </c>
      <c r="P54" s="50">
        <f t="shared" si="17"/>
        <v>0.65820312499999878</v>
      </c>
      <c r="Q54" s="44">
        <v>1</v>
      </c>
      <c r="R54" s="68">
        <v>0</v>
      </c>
      <c r="T54" t="s">
        <v>431</v>
      </c>
    </row>
    <row r="55" spans="7:20" x14ac:dyDescent="0.25">
      <c r="G55" t="s">
        <v>90</v>
      </c>
      <c r="H55" s="52" t="s">
        <v>106</v>
      </c>
      <c r="I55" s="90">
        <v>0.44251945807257753</v>
      </c>
      <c r="J55" s="113">
        <v>0.14824548862577158</v>
      </c>
      <c r="K55" s="50">
        <f t="shared" si="16"/>
        <v>0.6409667968749988</v>
      </c>
      <c r="L55" s="44">
        <v>1</v>
      </c>
      <c r="M55" s="44">
        <v>0</v>
      </c>
      <c r="N55" s="90">
        <v>0.3971068912774085</v>
      </c>
      <c r="O55" s="113">
        <v>0.13303212787634178</v>
      </c>
      <c r="P55" s="50">
        <f t="shared" si="17"/>
        <v>0.65820312499999878</v>
      </c>
      <c r="Q55" s="44">
        <v>1</v>
      </c>
      <c r="R55" s="68">
        <v>0</v>
      </c>
      <c r="T55" t="s">
        <v>432</v>
      </c>
    </row>
    <row r="56" spans="7:20" x14ac:dyDescent="0.25">
      <c r="G56" t="s">
        <v>91</v>
      </c>
      <c r="H56" s="52" t="s">
        <v>107</v>
      </c>
      <c r="I56" s="90">
        <v>-2.7015527421952679E-2</v>
      </c>
      <c r="J56" s="113">
        <v>-0.27512656792935486</v>
      </c>
      <c r="K56" s="50">
        <f t="shared" si="16"/>
        <v>0.6409667968749988</v>
      </c>
      <c r="L56" s="44">
        <v>1</v>
      </c>
      <c r="M56" s="44">
        <v>0</v>
      </c>
      <c r="N56" s="90">
        <v>-2.4243119517225242E-2</v>
      </c>
      <c r="O56" s="113">
        <v>-0.24689232101592717</v>
      </c>
      <c r="P56" s="50">
        <f t="shared" si="17"/>
        <v>0.65820312499999878</v>
      </c>
      <c r="Q56" s="44">
        <v>1</v>
      </c>
      <c r="R56" s="68">
        <v>0</v>
      </c>
      <c r="T56" t="s">
        <v>433</v>
      </c>
    </row>
    <row r="57" spans="7:20" x14ac:dyDescent="0.25">
      <c r="G57" t="s">
        <v>92</v>
      </c>
      <c r="H57" s="52" t="s">
        <v>108</v>
      </c>
      <c r="I57" s="90">
        <v>0</v>
      </c>
      <c r="J57" s="113">
        <v>-0.27435672225408092</v>
      </c>
      <c r="K57" s="50">
        <f t="shared" si="16"/>
        <v>0.6409667968749988</v>
      </c>
      <c r="L57" s="44">
        <v>1</v>
      </c>
      <c r="M57" s="44">
        <v>0</v>
      </c>
      <c r="N57" s="90">
        <v>0</v>
      </c>
      <c r="O57" s="113">
        <v>-0.24620147902628231</v>
      </c>
      <c r="P57" s="50">
        <f t="shared" si="17"/>
        <v>0.65820312499999878</v>
      </c>
      <c r="Q57" s="44">
        <v>1</v>
      </c>
      <c r="R57" s="68">
        <v>0</v>
      </c>
    </row>
    <row r="58" spans="7:20" x14ac:dyDescent="0.25">
      <c r="G58" t="s">
        <v>93</v>
      </c>
      <c r="H58" s="52" t="s">
        <v>109</v>
      </c>
      <c r="I58" s="90">
        <v>5.1445945208842048E-2</v>
      </c>
      <c r="J58" s="113">
        <v>-0.21772421676462161</v>
      </c>
      <c r="K58" s="50">
        <f t="shared" si="16"/>
        <v>0.6409667968749988</v>
      </c>
      <c r="L58" s="44">
        <v>1</v>
      </c>
      <c r="M58" s="44">
        <v>0</v>
      </c>
      <c r="N58" s="90">
        <v>4.6166420477177228E-2</v>
      </c>
      <c r="O58" s="113">
        <v>-0.19538075738361604</v>
      </c>
      <c r="P58" s="50">
        <f t="shared" si="17"/>
        <v>0.65820312499999878</v>
      </c>
      <c r="Q58" s="44">
        <v>1</v>
      </c>
      <c r="R58" s="68">
        <v>0</v>
      </c>
      <c r="T58" t="s">
        <v>434</v>
      </c>
    </row>
    <row r="59" spans="7:20" x14ac:dyDescent="0.25">
      <c r="G59" t="s">
        <v>94</v>
      </c>
      <c r="H59" s="52" t="s">
        <v>110</v>
      </c>
      <c r="I59" s="90">
        <v>0</v>
      </c>
      <c r="J59" s="113">
        <v>-0.27435672225408092</v>
      </c>
      <c r="K59" s="50">
        <f t="shared" si="16"/>
        <v>0.6409667968749988</v>
      </c>
      <c r="L59" s="44">
        <v>1</v>
      </c>
      <c r="M59" s="44">
        <v>0</v>
      </c>
      <c r="N59" s="90">
        <v>0</v>
      </c>
      <c r="O59" s="113">
        <v>-0.24620147902628231</v>
      </c>
      <c r="P59" s="50">
        <f t="shared" si="17"/>
        <v>0.65820312499999878</v>
      </c>
      <c r="Q59" s="44">
        <v>1</v>
      </c>
      <c r="R59" s="68">
        <v>0</v>
      </c>
      <c r="T59" t="s">
        <v>435</v>
      </c>
    </row>
    <row r="60" spans="7:20" x14ac:dyDescent="0.25">
      <c r="G60" t="s">
        <v>95</v>
      </c>
      <c r="H60" s="52" t="s">
        <v>111</v>
      </c>
      <c r="I60" s="90">
        <v>0</v>
      </c>
      <c r="J60" s="113">
        <v>-0.27435672225408092</v>
      </c>
      <c r="K60" s="50">
        <f t="shared" si="16"/>
        <v>0.6409667968749988</v>
      </c>
      <c r="L60" s="44">
        <v>1</v>
      </c>
      <c r="M60" s="44">
        <v>0</v>
      </c>
      <c r="N60" s="90">
        <v>0</v>
      </c>
      <c r="O60" s="113">
        <v>-0.24620147902628231</v>
      </c>
      <c r="P60" s="50">
        <f t="shared" si="17"/>
        <v>0.65820312499999878</v>
      </c>
      <c r="Q60" s="44">
        <v>1</v>
      </c>
      <c r="R60" s="68">
        <v>0</v>
      </c>
      <c r="T60" t="s">
        <v>436</v>
      </c>
    </row>
    <row r="61" spans="7:20" x14ac:dyDescent="0.25">
      <c r="G61" t="s">
        <v>96</v>
      </c>
      <c r="H61" s="52" t="s">
        <v>112</v>
      </c>
      <c r="I61" s="90">
        <v>2.6515381787925785E-2</v>
      </c>
      <c r="J61" s="113">
        <v>-0.24243164824051067</v>
      </c>
      <c r="K61" s="50">
        <f t="shared" si="16"/>
        <v>0.6409667968749988</v>
      </c>
      <c r="L61" s="44">
        <v>1</v>
      </c>
      <c r="M61" s="44">
        <v>0</v>
      </c>
      <c r="N61" s="90">
        <v>2.3794300207042651E-2</v>
      </c>
      <c r="O61" s="113">
        <v>-0.21755264412408737</v>
      </c>
      <c r="P61" s="50">
        <f t="shared" si="17"/>
        <v>0.65820312499999878</v>
      </c>
      <c r="Q61" s="44">
        <v>1</v>
      </c>
      <c r="R61" s="68">
        <v>0</v>
      </c>
    </row>
    <row r="62" spans="7:20" x14ac:dyDescent="0.25">
      <c r="G62" t="s">
        <v>97</v>
      </c>
      <c r="H62" s="52" t="s">
        <v>113</v>
      </c>
      <c r="I62" s="90">
        <v>0.19705521506759016</v>
      </c>
      <c r="J62" s="113">
        <v>-6.8691042677414771E-2</v>
      </c>
      <c r="K62" s="50">
        <f t="shared" si="16"/>
        <v>0.6409667968749988</v>
      </c>
      <c r="L62" s="44">
        <v>1</v>
      </c>
      <c r="M62" s="44">
        <v>0</v>
      </c>
      <c r="N62" s="90">
        <v>0.17683286562431322</v>
      </c>
      <c r="O62" s="113">
        <v>-6.1641778499507804E-2</v>
      </c>
      <c r="P62" s="50">
        <f t="shared" si="17"/>
        <v>0.65820312499999878</v>
      </c>
      <c r="Q62" s="44">
        <v>1</v>
      </c>
      <c r="R62" s="68">
        <v>0</v>
      </c>
    </row>
    <row r="63" spans="7:20" x14ac:dyDescent="0.25">
      <c r="G63" t="s">
        <v>98</v>
      </c>
      <c r="H63" s="52" t="s">
        <v>114</v>
      </c>
      <c r="I63" s="90">
        <v>0.19320758531722682</v>
      </c>
      <c r="J63" s="113">
        <v>-0.12060600962120394</v>
      </c>
      <c r="K63" s="50">
        <f t="shared" si="16"/>
        <v>0.6409667968749988</v>
      </c>
      <c r="L63" s="44">
        <v>1</v>
      </c>
      <c r="M63" s="44">
        <v>0</v>
      </c>
      <c r="N63" s="90">
        <v>0.17338009024668755</v>
      </c>
      <c r="O63" s="113">
        <v>-0.10822908840811818</v>
      </c>
      <c r="P63" s="50">
        <f t="shared" si="17"/>
        <v>0.65820312499999878</v>
      </c>
      <c r="Q63" s="44">
        <v>1</v>
      </c>
      <c r="R63" s="68">
        <v>0</v>
      </c>
    </row>
    <row r="64" spans="7:20" x14ac:dyDescent="0.25">
      <c r="G64" t="s">
        <v>99</v>
      </c>
      <c r="H64" s="66" t="s">
        <v>115</v>
      </c>
      <c r="I64" s="93">
        <v>0</v>
      </c>
      <c r="J64" s="92">
        <v>-0.27435672225408092</v>
      </c>
      <c r="K64" s="63">
        <f t="shared" si="16"/>
        <v>0.6409667968749988</v>
      </c>
      <c r="L64" s="71">
        <v>1</v>
      </c>
      <c r="M64" s="72">
        <v>0</v>
      </c>
      <c r="N64" s="93">
        <v>0</v>
      </c>
      <c r="O64" s="92">
        <v>-0.24620147902628231</v>
      </c>
      <c r="P64" s="63">
        <f t="shared" si="17"/>
        <v>0.65820312499999878</v>
      </c>
      <c r="Q64" s="71">
        <v>1</v>
      </c>
      <c r="R64" s="72">
        <v>0</v>
      </c>
    </row>
  </sheetData>
  <mergeCells count="23">
    <mergeCell ref="C8:C9"/>
    <mergeCell ref="D8:D9"/>
    <mergeCell ref="E8:G8"/>
    <mergeCell ref="H8:H9"/>
    <mergeCell ref="I8:J8"/>
    <mergeCell ref="V8:W8"/>
    <mergeCell ref="I18:M18"/>
    <mergeCell ref="N18:R18"/>
    <mergeCell ref="H6:P6"/>
    <mergeCell ref="Q6:U6"/>
    <mergeCell ref="V6:W6"/>
    <mergeCell ref="K8:L8"/>
    <mergeCell ref="M8:N8"/>
    <mergeCell ref="Q19:R19"/>
    <mergeCell ref="O8:P8"/>
    <mergeCell ref="Q8:Q9"/>
    <mergeCell ref="R8:S8"/>
    <mergeCell ref="T8:U8"/>
    <mergeCell ref="I19:J19"/>
    <mergeCell ref="K19:K20"/>
    <mergeCell ref="L19:M19"/>
    <mergeCell ref="N19:O19"/>
    <mergeCell ref="P19:P2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66"/>
  <sheetViews>
    <sheetView topLeftCell="A11" zoomScale="70" zoomScaleNormal="70" workbookViewId="0"/>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244</v>
      </c>
      <c r="K1" s="114" t="s">
        <v>245</v>
      </c>
    </row>
    <row r="2" spans="1:27" x14ac:dyDescent="0.25">
      <c r="B2" s="114" t="s">
        <v>157</v>
      </c>
      <c r="C2" s="115" t="s">
        <v>158</v>
      </c>
      <c r="D2" s="116">
        <f>'CR Path Generator'!$D$79</f>
        <v>30</v>
      </c>
      <c r="F2" s="114" t="s">
        <v>159</v>
      </c>
      <c r="G2" s="117" t="s">
        <v>160</v>
      </c>
      <c r="I2" s="114" t="s">
        <v>11</v>
      </c>
      <c r="J2" s="249">
        <f>'CR Path Generator'!I61</f>
        <v>5.8545710581568947E-2</v>
      </c>
      <c r="K2" s="249">
        <f>'CR Path Generator'!D35</f>
        <v>0.16459752684908685</v>
      </c>
    </row>
    <row r="3" spans="1:27" x14ac:dyDescent="0.25">
      <c r="C3" s="115" t="s">
        <v>161</v>
      </c>
      <c r="D3" s="115"/>
      <c r="I3" s="114" t="s">
        <v>12</v>
      </c>
      <c r="J3" s="249">
        <f>'CR Path Generator'!I67</f>
        <v>5.9492494838270175E-2</v>
      </c>
      <c r="K3" s="249">
        <f>'CR Path Generator'!E35</f>
        <v>0.16459752684908685</v>
      </c>
    </row>
    <row r="4" spans="1:27" x14ac:dyDescent="0.25">
      <c r="C4" s="115" t="s">
        <v>162</v>
      </c>
      <c r="D4" s="115"/>
      <c r="I4" s="114" t="s">
        <v>13</v>
      </c>
      <c r="J4" s="249">
        <f>'CR Path Generator'!I73</f>
        <v>5.9794672540119928E-2</v>
      </c>
      <c r="K4" s="249">
        <f>'CR Path Generator'!F35</f>
        <v>0.16459752684908685</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base'!J2</f>
        <v>5.8545710581568947E-2</v>
      </c>
      <c r="I10" s="150">
        <f>'Processor LT base'!K2</f>
        <v>0.16459752684908685</v>
      </c>
      <c r="J10" s="150">
        <f>I10*E10/100</f>
        <v>0.16459752684908685</v>
      </c>
      <c r="K10" s="150"/>
      <c r="L10" s="150"/>
      <c r="M10" s="151">
        <v>1</v>
      </c>
      <c r="N10" s="152"/>
      <c r="O10" s="152"/>
      <c r="P10" s="152">
        <f>H10*J10*M10</f>
        <v>9.6364791693486634E-3</v>
      </c>
      <c r="Q10" s="152"/>
      <c r="R10" s="152"/>
      <c r="S10" s="153">
        <f>P10*$E10</f>
        <v>0.9636479169348664</v>
      </c>
      <c r="T10" s="144"/>
      <c r="U10" s="144"/>
      <c r="W10" s="154">
        <f t="shared" ref="W10:W12" si="0">1-H10</f>
        <v>0.94145428941843101</v>
      </c>
    </row>
    <row r="11" spans="1:27" x14ac:dyDescent="0.25">
      <c r="C11" s="438"/>
      <c r="D11" s="147" t="s">
        <v>12</v>
      </c>
      <c r="E11" s="148">
        <f>IF($D$2&gt;1,100,0)</f>
        <v>100</v>
      </c>
      <c r="F11" s="148">
        <v>100</v>
      </c>
      <c r="G11" s="148">
        <v>100</v>
      </c>
      <c r="H11" s="149">
        <f>'Processor LT base'!J3</f>
        <v>5.9492494838270175E-2</v>
      </c>
      <c r="I11" s="150">
        <f>'Processor LT base'!K3</f>
        <v>0.16459752684908685</v>
      </c>
      <c r="J11" s="150">
        <f>I11*E11/100</f>
        <v>0.16459752684908685</v>
      </c>
      <c r="K11" s="150">
        <f>I11*F11/100</f>
        <v>0.16459752684908685</v>
      </c>
      <c r="L11" s="150"/>
      <c r="M11" s="360">
        <f>M10*W10</f>
        <v>0.94145428941843101</v>
      </c>
      <c r="N11" s="151">
        <v>1</v>
      </c>
      <c r="O11" s="155"/>
      <c r="P11" s="152">
        <f t="shared" ref="P11:P12" si="1">H11*J11*M11</f>
        <v>9.219019329219761E-3</v>
      </c>
      <c r="Q11" s="152">
        <f>N11*K11*H11</f>
        <v>9.7923175164613355E-3</v>
      </c>
      <c r="R11" s="152"/>
      <c r="S11" s="156">
        <f>P11*$E11</f>
        <v>0.92190193292197609</v>
      </c>
      <c r="T11" s="153">
        <f t="shared" ref="T11:T12" si="2">Q11*$F11</f>
        <v>0.97923175164613352</v>
      </c>
      <c r="U11" s="144"/>
      <c r="W11" s="154">
        <f t="shared" si="0"/>
        <v>0.94050750516172987</v>
      </c>
    </row>
    <row r="12" spans="1:27" x14ac:dyDescent="0.25">
      <c r="C12" s="426"/>
      <c r="D12" s="157" t="s">
        <v>13</v>
      </c>
      <c r="E12" s="158">
        <f>IF($D$2&gt;2,100,0)</f>
        <v>100</v>
      </c>
      <c r="F12" s="140">
        <f>IF($D$2&gt;1,100,0)</f>
        <v>100</v>
      </c>
      <c r="G12" s="159">
        <v>100</v>
      </c>
      <c r="H12" s="160">
        <f>'Processor LT base'!J4</f>
        <v>5.9794672540119928E-2</v>
      </c>
      <c r="I12" s="161">
        <f>'Processor LT base'!K4</f>
        <v>0.16459752684908685</v>
      </c>
      <c r="J12" s="161">
        <f>I12*E12/100</f>
        <v>0.16459752684908685</v>
      </c>
      <c r="K12" s="161">
        <f>I12*F12/100</f>
        <v>0.16459752684908685</v>
      </c>
      <c r="L12" s="161">
        <f>I12*G12/100</f>
        <v>0.16459752684908685</v>
      </c>
      <c r="M12" s="142">
        <f t="shared" ref="M12" si="3">M11*W11</f>
        <v>0.88544482496473775</v>
      </c>
      <c r="N12" s="142">
        <f>N11*W11</f>
        <v>0.94050750516172987</v>
      </c>
      <c r="O12" s="162">
        <v>1</v>
      </c>
      <c r="P12" s="142">
        <f t="shared" si="1"/>
        <v>8.7145968605521242E-3</v>
      </c>
      <c r="Q12" s="142">
        <f t="shared" ref="Q12" si="4">N12*K12*H12</f>
        <v>9.2565267995490599E-3</v>
      </c>
      <c r="R12" s="142">
        <f>H12*L12*O12</f>
        <v>9.8420552188547457E-3</v>
      </c>
      <c r="S12" s="156">
        <f>P12*$E12</f>
        <v>0.8714596860552124</v>
      </c>
      <c r="T12" s="156">
        <f t="shared" si="2"/>
        <v>0.92565267995490597</v>
      </c>
      <c r="U12" s="153">
        <f t="shared" ref="U12" si="5">R12*$G12</f>
        <v>0.98420552188547461</v>
      </c>
      <c r="W12" s="154">
        <f t="shared" si="0"/>
        <v>0.94020532745988006</v>
      </c>
    </row>
    <row r="13" spans="1:27" x14ac:dyDescent="0.25">
      <c r="A13" s="163"/>
      <c r="C13" s="439" t="s">
        <v>179</v>
      </c>
      <c r="D13" s="147" t="s">
        <v>180</v>
      </c>
      <c r="E13" s="148">
        <f>IF($D$2&gt;3,100,0)</f>
        <v>100</v>
      </c>
      <c r="F13" s="148">
        <f>IF($D$2&gt;2,100,0)</f>
        <v>100</v>
      </c>
      <c r="G13" s="148">
        <f>IF($D$2&gt;1,100,0)</f>
        <v>100</v>
      </c>
      <c r="H13" s="147">
        <f>H12</f>
        <v>5.9794672540119928E-2</v>
      </c>
      <c r="I13" s="147">
        <f>I12</f>
        <v>0.16459752684908685</v>
      </c>
      <c r="J13" s="164">
        <f>I13*E13/100</f>
        <v>0.16459752684908685</v>
      </c>
      <c r="K13" s="164">
        <f>I13*F13/100</f>
        <v>0.16459752684908685</v>
      </c>
      <c r="L13" s="164">
        <f>I13*G13/100</f>
        <v>0.16459752684908685</v>
      </c>
      <c r="M13" s="164">
        <f t="shared" ref="M13:M61" si="6">M12*W12</f>
        <v>0.83249994160362739</v>
      </c>
      <c r="N13" s="164">
        <f t="shared" ref="N13:N61" si="7">N12*W12</f>
        <v>0.88427016686905902</v>
      </c>
      <c r="O13" s="164">
        <f>O12*W12</f>
        <v>0.94020532745988006</v>
      </c>
      <c r="P13" s="164">
        <f t="shared" ref="P13:P61" si="8">H13*J13*M13</f>
        <v>8.1935103949562528E-3</v>
      </c>
      <c r="Q13" s="164">
        <f t="shared" ref="Q13:Q61" si="9">N13*K13*H13</f>
        <v>8.7030358107111801E-3</v>
      </c>
      <c r="R13" s="164">
        <f t="shared" ref="R13:R61" si="10">H13*L13*O13</f>
        <v>9.2535527499215484E-3</v>
      </c>
      <c r="S13" s="156">
        <f>P13*$E13</f>
        <v>0.81935103949562527</v>
      </c>
      <c r="T13" s="156">
        <f t="shared" ref="T13:T61" si="11">Q13*$F13</f>
        <v>0.87030358107111805</v>
      </c>
      <c r="U13" s="165">
        <f t="shared" ref="U13:U22" si="12">R13*$G13</f>
        <v>0.92535527499215486</v>
      </c>
      <c r="W13" s="154">
        <f t="shared" ref="W13:W61" si="13">1-H13</f>
        <v>0.94020532745988006</v>
      </c>
    </row>
    <row r="14" spans="1:27" x14ac:dyDescent="0.25">
      <c r="A14" s="163"/>
      <c r="B14" s="163"/>
      <c r="C14" s="440"/>
      <c r="D14" s="147" t="s">
        <v>181</v>
      </c>
      <c r="E14" s="166">
        <f>IF(E13&gt;0.1,-100/($D$2-3)+E13,0)</f>
        <v>96.296296296296291</v>
      </c>
      <c r="F14" s="167">
        <f>IF(F13&gt;0.1,-100/($D$2-2)+F13,0)</f>
        <v>96.428571428571431</v>
      </c>
      <c r="G14" s="168">
        <f>IF(G13&gt;0.1,-100/($D$2-1)+G13,0)</f>
        <v>96.551724137931032</v>
      </c>
      <c r="H14" s="147">
        <f t="shared" ref="H14:I29" si="14">H13</f>
        <v>5.9794672540119928E-2</v>
      </c>
      <c r="I14" s="164">
        <f t="shared" si="14"/>
        <v>0.16459752684908685</v>
      </c>
      <c r="J14" s="164">
        <f t="shared" ref="J14:J61" si="15">I14*E14/100</f>
        <v>0.15850132215097251</v>
      </c>
      <c r="K14" s="164">
        <f t="shared" ref="K14:K61" si="16">I14*F14/100</f>
        <v>0.15871904374733375</v>
      </c>
      <c r="L14" s="164">
        <f t="shared" ref="L14:L61" si="17">I14*G14/100</f>
        <v>0.15892175006118731</v>
      </c>
      <c r="M14" s="164">
        <f t="shared" si="6"/>
        <v>0.78272088020576946</v>
      </c>
      <c r="N14" s="164">
        <f t="shared" si="7"/>
        <v>0.83139552180412646</v>
      </c>
      <c r="O14" s="164">
        <f t="shared" ref="O14:O61" si="18">O13*W13</f>
        <v>0.88398605778394024</v>
      </c>
      <c r="P14" s="164">
        <f t="shared" si="8"/>
        <v>7.4182642674937068E-3</v>
      </c>
      <c r="Q14" s="164">
        <f t="shared" si="9"/>
        <v>7.8904034687938829E-3</v>
      </c>
      <c r="R14" s="164">
        <f t="shared" si="10"/>
        <v>8.4002313315656319E-3</v>
      </c>
      <c r="S14" s="156">
        <f t="shared" ref="S14:S61" si="19">P14*$E14</f>
        <v>0.71435137390680137</v>
      </c>
      <c r="T14" s="156">
        <f t="shared" si="11"/>
        <v>0.76086033449083867</v>
      </c>
      <c r="U14" s="165">
        <f t="shared" si="12"/>
        <v>0.81105681822012998</v>
      </c>
      <c r="W14" s="154">
        <f t="shared" si="13"/>
        <v>0.94020532745988006</v>
      </c>
    </row>
    <row r="15" spans="1:27" x14ac:dyDescent="0.25">
      <c r="A15" s="163"/>
      <c r="B15" s="163"/>
      <c r="C15" s="440"/>
      <c r="D15" s="147" t="s">
        <v>182</v>
      </c>
      <c r="E15" s="166">
        <f t="shared" ref="E15:E61" si="20">IF(E14&gt;0.1,-100/($D$2-3)+E14,0)</f>
        <v>92.592592592592581</v>
      </c>
      <c r="F15" s="167">
        <f t="shared" ref="F15:F61" si="21">IF(F14&gt;0.1,-100/($D$2-2)+F14,0)</f>
        <v>92.857142857142861</v>
      </c>
      <c r="G15" s="168">
        <f t="shared" ref="G15:G61" si="22">IF(G14&gt;0.1,-100/($D$2-1)+G14,0)</f>
        <v>93.103448275862064</v>
      </c>
      <c r="H15" s="147">
        <f t="shared" si="14"/>
        <v>5.9794672540119928E-2</v>
      </c>
      <c r="I15" s="164">
        <f t="shared" si="14"/>
        <v>0.16459752684908685</v>
      </c>
      <c r="J15" s="164">
        <f t="shared" si="15"/>
        <v>0.15240511745285817</v>
      </c>
      <c r="K15" s="164">
        <f t="shared" si="16"/>
        <v>0.15284056064558066</v>
      </c>
      <c r="L15" s="164">
        <f t="shared" si="17"/>
        <v>0.15324597327328773</v>
      </c>
      <c r="M15" s="164">
        <f t="shared" si="6"/>
        <v>0.73591834148355106</v>
      </c>
      <c r="N15" s="164">
        <f t="shared" si="7"/>
        <v>0.78168249882652652</v>
      </c>
      <c r="O15" s="164">
        <f t="shared" si="18"/>
        <v>0.83112840092871798</v>
      </c>
      <c r="P15" s="164">
        <f t="shared" si="8"/>
        <v>6.7064342161565855E-3</v>
      </c>
      <c r="Q15" s="164">
        <f t="shared" si="9"/>
        <v>7.1438364372728184E-3</v>
      </c>
      <c r="R15" s="164">
        <f t="shared" si="10"/>
        <v>7.6158728837679296E-3</v>
      </c>
      <c r="S15" s="156">
        <f t="shared" si="19"/>
        <v>0.62096613112560972</v>
      </c>
      <c r="T15" s="156">
        <f t="shared" si="11"/>
        <v>0.66335624060390463</v>
      </c>
      <c r="U15" s="165">
        <f t="shared" si="12"/>
        <v>0.70906402710942784</v>
      </c>
      <c r="W15" s="154">
        <f t="shared" si="13"/>
        <v>0.94020532745988006</v>
      </c>
    </row>
    <row r="16" spans="1:27" x14ac:dyDescent="0.25">
      <c r="A16" s="163"/>
      <c r="B16" s="163"/>
      <c r="C16" s="440"/>
      <c r="D16" s="147" t="s">
        <v>183</v>
      </c>
      <c r="E16" s="166">
        <f t="shared" si="20"/>
        <v>88.888888888888872</v>
      </c>
      <c r="F16" s="167">
        <f t="shared" si="21"/>
        <v>89.285714285714292</v>
      </c>
      <c r="G16" s="168">
        <f t="shared" si="22"/>
        <v>89.655172413793096</v>
      </c>
      <c r="H16" s="147">
        <f t="shared" si="14"/>
        <v>5.9794672540119928E-2</v>
      </c>
      <c r="I16" s="164">
        <f t="shared" si="14"/>
        <v>0.16459752684908685</v>
      </c>
      <c r="J16" s="164">
        <f t="shared" si="15"/>
        <v>0.14630891275474384</v>
      </c>
      <c r="K16" s="164">
        <f t="shared" si="16"/>
        <v>0.14696207754382754</v>
      </c>
      <c r="L16" s="164">
        <f t="shared" si="17"/>
        <v>0.14757019648538822</v>
      </c>
      <c r="M16" s="164">
        <f t="shared" si="6"/>
        <v>0.691914345238274</v>
      </c>
      <c r="N16" s="164">
        <f t="shared" si="7"/>
        <v>0.73494204977885169</v>
      </c>
      <c r="O16" s="164">
        <f t="shared" si="18"/>
        <v>0.78143135035639177</v>
      </c>
      <c r="P16" s="164">
        <f t="shared" si="8"/>
        <v>6.05320817115806E-3</v>
      </c>
      <c r="Q16" s="164">
        <f t="shared" si="9"/>
        <v>6.4583394969479927E-3</v>
      </c>
      <c r="R16" s="164">
        <f t="shared" si="10"/>
        <v>6.8952811378878544E-3</v>
      </c>
      <c r="S16" s="156">
        <f t="shared" si="19"/>
        <v>0.53806294854738301</v>
      </c>
      <c r="T16" s="156">
        <f t="shared" si="11"/>
        <v>0.57663745508464226</v>
      </c>
      <c r="U16" s="165">
        <f t="shared" si="12"/>
        <v>0.61819761925891104</v>
      </c>
      <c r="W16" s="154">
        <f t="shared" si="13"/>
        <v>0.94020532745988006</v>
      </c>
    </row>
    <row r="17" spans="1:27" x14ac:dyDescent="0.25">
      <c r="A17" s="163"/>
      <c r="B17" s="163"/>
      <c r="C17" s="440"/>
      <c r="D17" s="147" t="s">
        <v>184</v>
      </c>
      <c r="E17" s="166">
        <f t="shared" si="20"/>
        <v>85.185185185185162</v>
      </c>
      <c r="F17" s="167">
        <f t="shared" si="21"/>
        <v>85.714285714285722</v>
      </c>
      <c r="G17" s="168">
        <f t="shared" si="22"/>
        <v>86.206896551724128</v>
      </c>
      <c r="H17" s="147">
        <f t="shared" si="14"/>
        <v>5.9794672540119928E-2</v>
      </c>
      <c r="I17" s="164">
        <f t="shared" si="14"/>
        <v>0.16459752684908685</v>
      </c>
      <c r="J17" s="164">
        <f t="shared" si="15"/>
        <v>0.1402127080566295</v>
      </c>
      <c r="K17" s="164">
        <f t="shared" si="16"/>
        <v>0.14108359444207447</v>
      </c>
      <c r="L17" s="164">
        <f t="shared" si="17"/>
        <v>0.14189441969748864</v>
      </c>
      <c r="M17" s="164">
        <f t="shared" si="6"/>
        <v>0.65054155353893994</v>
      </c>
      <c r="N17" s="164">
        <f t="shared" si="7"/>
        <v>0.69099643057636073</v>
      </c>
      <c r="O17" s="164">
        <f t="shared" si="18"/>
        <v>0.73470591864924761</v>
      </c>
      <c r="P17" s="164">
        <f t="shared" si="8"/>
        <v>5.4541227969653822E-3</v>
      </c>
      <c r="Q17" s="164">
        <f t="shared" si="9"/>
        <v>5.8292785935120635E-3</v>
      </c>
      <c r="R17" s="164">
        <f t="shared" si="10"/>
        <v>6.233634673245946E-3</v>
      </c>
      <c r="S17" s="156">
        <f t="shared" si="19"/>
        <v>0.46461046048223614</v>
      </c>
      <c r="T17" s="156">
        <f t="shared" si="11"/>
        <v>0.49965245087246263</v>
      </c>
      <c r="U17" s="165">
        <f t="shared" si="12"/>
        <v>0.53738229941775395</v>
      </c>
      <c r="W17" s="154">
        <f t="shared" si="13"/>
        <v>0.94020532745988006</v>
      </c>
    </row>
    <row r="18" spans="1:27" x14ac:dyDescent="0.25">
      <c r="A18" s="163"/>
      <c r="B18" s="163"/>
      <c r="C18" s="428"/>
      <c r="D18" s="157" t="s">
        <v>185</v>
      </c>
      <c r="E18" s="169">
        <f t="shared" si="20"/>
        <v>81.481481481481453</v>
      </c>
      <c r="F18" s="170">
        <f t="shared" si="21"/>
        <v>82.142857142857153</v>
      </c>
      <c r="G18" s="171">
        <f t="shared" si="22"/>
        <v>82.75862068965516</v>
      </c>
      <c r="H18" s="157">
        <f t="shared" si="14"/>
        <v>5.9794672540119928E-2</v>
      </c>
      <c r="I18" s="172">
        <f t="shared" si="14"/>
        <v>0.16459752684908685</v>
      </c>
      <c r="J18" s="157">
        <f t="shared" si="15"/>
        <v>0.13411650335851516</v>
      </c>
      <c r="K18" s="172">
        <f t="shared" si="16"/>
        <v>0.13520511134032134</v>
      </c>
      <c r="L18" s="172">
        <f t="shared" si="17"/>
        <v>0.1362186429095891</v>
      </c>
      <c r="M18" s="172">
        <f t="shared" si="6"/>
        <v>0.61164263437133815</v>
      </c>
      <c r="N18" s="172">
        <f t="shared" si="7"/>
        <v>0.64967852528365555</v>
      </c>
      <c r="O18" s="172">
        <f t="shared" si="18"/>
        <v>0.69077441883032786</v>
      </c>
      <c r="P18" s="172">
        <f t="shared" si="8"/>
        <v>4.9050389924869186E-3</v>
      </c>
      <c r="Q18" s="172">
        <f t="shared" si="9"/>
        <v>5.2523555059983823E-3</v>
      </c>
      <c r="R18" s="172">
        <f t="shared" si="10"/>
        <v>5.6264606680554875E-3</v>
      </c>
      <c r="S18" s="173">
        <f t="shared" si="19"/>
        <v>0.39966984383226728</v>
      </c>
      <c r="T18" s="173">
        <f t="shared" si="11"/>
        <v>0.43144348799272431</v>
      </c>
      <c r="U18" s="174">
        <f t="shared" si="12"/>
        <v>0.46563812425286788</v>
      </c>
      <c r="W18" s="154">
        <f t="shared" si="13"/>
        <v>0.94020532745988006</v>
      </c>
    </row>
    <row r="19" spans="1:27" x14ac:dyDescent="0.25">
      <c r="A19" s="163"/>
      <c r="B19" s="163"/>
      <c r="C19" s="437" t="s">
        <v>186</v>
      </c>
      <c r="D19" s="147" t="s">
        <v>187</v>
      </c>
      <c r="E19" s="166">
        <f t="shared" si="20"/>
        <v>77.777777777777743</v>
      </c>
      <c r="F19" s="167">
        <f t="shared" si="21"/>
        <v>78.571428571428584</v>
      </c>
      <c r="G19" s="168">
        <f t="shared" si="22"/>
        <v>79.310344827586192</v>
      </c>
      <c r="H19" s="175">
        <f t="shared" si="14"/>
        <v>5.9794672540119928E-2</v>
      </c>
      <c r="I19" s="176">
        <f t="shared" si="14"/>
        <v>0.16459752684908685</v>
      </c>
      <c r="J19" s="164">
        <f t="shared" si="15"/>
        <v>0.12802029866040082</v>
      </c>
      <c r="K19" s="177">
        <f t="shared" si="16"/>
        <v>0.12932662823856825</v>
      </c>
      <c r="L19" s="177">
        <f t="shared" si="17"/>
        <v>0.13054286612168955</v>
      </c>
      <c r="M19" s="178">
        <f t="shared" si="6"/>
        <v>0.57506966333752763</v>
      </c>
      <c r="N19" s="178">
        <f t="shared" si="7"/>
        <v>0.6108312106079713</v>
      </c>
      <c r="O19" s="178">
        <f t="shared" si="18"/>
        <v>0.64946978865727678</v>
      </c>
      <c r="P19" s="178">
        <f t="shared" si="8"/>
        <v>4.4021190743103412E-3</v>
      </c>
      <c r="Q19" s="178">
        <f t="shared" si="9"/>
        <v>4.7235842533027862E-3</v>
      </c>
      <c r="R19" s="178">
        <f t="shared" si="10"/>
        <v>5.0696104492305273E-3</v>
      </c>
      <c r="S19" s="156">
        <f t="shared" si="19"/>
        <v>0.34238703911302637</v>
      </c>
      <c r="T19" s="156">
        <f t="shared" si="11"/>
        <v>0.37113876275950469</v>
      </c>
      <c r="U19" s="165">
        <f t="shared" si="12"/>
        <v>0.40207255287000726</v>
      </c>
      <c r="W19" s="154">
        <f t="shared" si="13"/>
        <v>0.94020532745988006</v>
      </c>
    </row>
    <row r="20" spans="1:27" x14ac:dyDescent="0.25">
      <c r="A20" s="163"/>
      <c r="B20" s="163"/>
      <c r="C20" s="438"/>
      <c r="D20" s="147" t="s">
        <v>188</v>
      </c>
      <c r="E20" s="166">
        <f t="shared" si="20"/>
        <v>74.074074074074034</v>
      </c>
      <c r="F20" s="167">
        <f t="shared" si="21"/>
        <v>75.000000000000014</v>
      </c>
      <c r="G20" s="168">
        <f t="shared" si="22"/>
        <v>75.862068965517224</v>
      </c>
      <c r="H20" s="147">
        <f t="shared" si="14"/>
        <v>5.9794672540119928E-2</v>
      </c>
      <c r="I20" s="164">
        <f t="shared" si="14"/>
        <v>0.16459752684908685</v>
      </c>
      <c r="J20" s="164">
        <f t="shared" si="15"/>
        <v>0.1219240939622865</v>
      </c>
      <c r="K20" s="164">
        <f t="shared" si="16"/>
        <v>0.12344814513681517</v>
      </c>
      <c r="L20" s="164">
        <f t="shared" si="17"/>
        <v>0.12486708933379</v>
      </c>
      <c r="M20" s="164">
        <f t="shared" si="6"/>
        <v>0.54068356113050309</v>
      </c>
      <c r="N20" s="164">
        <f t="shared" si="7"/>
        <v>0.57430675839238265</v>
      </c>
      <c r="O20" s="164">
        <f t="shared" si="18"/>
        <v>0.61063495531981404</v>
      </c>
      <c r="P20" s="164">
        <f t="shared" si="8"/>
        <v>3.941805529313655E-3</v>
      </c>
      <c r="Q20" s="164">
        <f t="shared" si="9"/>
        <v>4.2392691214944772E-3</v>
      </c>
      <c r="R20" s="164">
        <f t="shared" si="10"/>
        <v>4.559236719794869E-3</v>
      </c>
      <c r="S20" s="156">
        <f t="shared" si="19"/>
        <v>0.29198559476397429</v>
      </c>
      <c r="T20" s="156">
        <f t="shared" si="11"/>
        <v>0.31794518411208583</v>
      </c>
      <c r="U20" s="165">
        <f t="shared" si="12"/>
        <v>0.34587313046719687</v>
      </c>
      <c r="W20" s="154">
        <f t="shared" si="13"/>
        <v>0.94020532745988006</v>
      </c>
    </row>
    <row r="21" spans="1:27" x14ac:dyDescent="0.25">
      <c r="A21" s="163"/>
      <c r="B21" s="163"/>
      <c r="C21" s="438"/>
      <c r="D21" s="147" t="s">
        <v>189</v>
      </c>
      <c r="E21" s="166">
        <f t="shared" si="20"/>
        <v>70.370370370370324</v>
      </c>
      <c r="F21" s="167">
        <f t="shared" si="21"/>
        <v>71.428571428571445</v>
      </c>
      <c r="G21" s="168">
        <f t="shared" si="22"/>
        <v>72.413793103448256</v>
      </c>
      <c r="H21" s="147">
        <f t="shared" si="14"/>
        <v>5.9794672540119928E-2</v>
      </c>
      <c r="I21" s="164">
        <f t="shared" si="14"/>
        <v>0.16459752684908685</v>
      </c>
      <c r="J21" s="164">
        <f t="shared" si="15"/>
        <v>0.11582788926417216</v>
      </c>
      <c r="K21" s="164">
        <f t="shared" si="16"/>
        <v>0.11756966203506206</v>
      </c>
      <c r="L21" s="164">
        <f t="shared" si="17"/>
        <v>0.11919131254589045</v>
      </c>
      <c r="M21" s="164">
        <f t="shared" si="6"/>
        <v>0.50835356464487869</v>
      </c>
      <c r="N21" s="164">
        <f t="shared" si="7"/>
        <v>0.53996627383673235</v>
      </c>
      <c r="O21" s="164">
        <f t="shared" si="18"/>
        <v>0.57412223812491503</v>
      </c>
      <c r="P21" s="147">
        <f t="shared" si="8"/>
        <v>3.5208012305479345E-3</v>
      </c>
      <c r="Q21" s="164">
        <f t="shared" si="9"/>
        <v>3.7959842024431162E-3</v>
      </c>
      <c r="R21" s="164">
        <f t="shared" si="10"/>
        <v>4.0917723506881248E-3</v>
      </c>
      <c r="S21" s="156">
        <f t="shared" si="19"/>
        <v>0.24776008659411375</v>
      </c>
      <c r="T21" s="156">
        <f t="shared" si="11"/>
        <v>0.27114172874593695</v>
      </c>
      <c r="U21" s="165">
        <f t="shared" si="12"/>
        <v>0.29630075642914</v>
      </c>
      <c r="V21" s="114"/>
      <c r="W21" s="154">
        <f t="shared" si="13"/>
        <v>0.94020532745988006</v>
      </c>
      <c r="Z21" s="179"/>
      <c r="AA21" s="179"/>
    </row>
    <row r="22" spans="1:27" x14ac:dyDescent="0.25">
      <c r="A22" s="163"/>
      <c r="B22" s="163"/>
      <c r="C22" s="438"/>
      <c r="D22" s="147" t="s">
        <v>190</v>
      </c>
      <c r="E22" s="166">
        <f t="shared" si="20"/>
        <v>66.666666666666615</v>
      </c>
      <c r="F22" s="167">
        <f t="shared" si="21"/>
        <v>67.857142857142875</v>
      </c>
      <c r="G22" s="168">
        <f t="shared" si="22"/>
        <v>68.965517241379288</v>
      </c>
      <c r="H22" s="147">
        <f t="shared" si="14"/>
        <v>5.9794672540119928E-2</v>
      </c>
      <c r="I22" s="164">
        <f t="shared" si="14"/>
        <v>0.16459752684908685</v>
      </c>
      <c r="J22" s="164">
        <f t="shared" si="15"/>
        <v>0.10973168456605782</v>
      </c>
      <c r="K22" s="147">
        <f t="shared" si="16"/>
        <v>0.11169117893330897</v>
      </c>
      <c r="L22" s="164">
        <f t="shared" si="17"/>
        <v>0.11351553575799089</v>
      </c>
      <c r="M22" s="164">
        <f t="shared" si="6"/>
        <v>0.47795672971233549</v>
      </c>
      <c r="N22" s="164">
        <f t="shared" si="7"/>
        <v>0.50767916730995621</v>
      </c>
      <c r="O22" s="164">
        <f t="shared" si="18"/>
        <v>0.53979278689823496</v>
      </c>
      <c r="P22" s="147">
        <f t="shared" si="8"/>
        <v>3.1360510173680236E-3</v>
      </c>
      <c r="Q22" s="147">
        <f t="shared" si="9"/>
        <v>3.3905543415860351E-3</v>
      </c>
      <c r="R22" s="164">
        <f t="shared" si="10"/>
        <v>3.6639106313047717E-3</v>
      </c>
      <c r="S22" s="156">
        <f t="shared" si="19"/>
        <v>0.20907006782453474</v>
      </c>
      <c r="T22" s="156">
        <f t="shared" si="11"/>
        <v>0.23007333032190957</v>
      </c>
      <c r="U22" s="165">
        <f t="shared" si="12"/>
        <v>0.25268349181412209</v>
      </c>
      <c r="V22" s="114"/>
      <c r="W22" s="154">
        <f t="shared" si="13"/>
        <v>0.94020532745988006</v>
      </c>
      <c r="Z22" s="179"/>
      <c r="AA22" s="179"/>
    </row>
    <row r="23" spans="1:27" x14ac:dyDescent="0.25">
      <c r="A23" s="163"/>
      <c r="B23" s="163"/>
      <c r="C23" s="438"/>
      <c r="D23" s="147" t="s">
        <v>191</v>
      </c>
      <c r="E23" s="166">
        <f t="shared" si="20"/>
        <v>62.962962962962912</v>
      </c>
      <c r="F23" s="167">
        <f t="shared" si="21"/>
        <v>64.285714285714306</v>
      </c>
      <c r="G23" s="168">
        <f t="shared" si="22"/>
        <v>65.51724137931032</v>
      </c>
      <c r="H23" s="147">
        <f t="shared" si="14"/>
        <v>5.9794672540119928E-2</v>
      </c>
      <c r="I23" s="164">
        <f t="shared" si="14"/>
        <v>0.16459752684908685</v>
      </c>
      <c r="J23" s="164">
        <f t="shared" si="15"/>
        <v>0.10363547986794348</v>
      </c>
      <c r="K23" s="147">
        <f t="shared" si="16"/>
        <v>0.10581269583155586</v>
      </c>
      <c r="L23" s="147">
        <f t="shared" si="17"/>
        <v>0.10783975897009135</v>
      </c>
      <c r="M23" s="147">
        <f t="shared" si="6"/>
        <v>0.4493774635708398</v>
      </c>
      <c r="N23" s="147">
        <f t="shared" si="7"/>
        <v>0.47732265774521659</v>
      </c>
      <c r="O23" s="164">
        <f t="shared" si="18"/>
        <v>0.5075160539661363</v>
      </c>
      <c r="P23" s="147">
        <f t="shared" si="8"/>
        <v>2.7847245473978707E-3</v>
      </c>
      <c r="Q23" s="147">
        <f t="shared" si="9"/>
        <v>3.0200373994750253E-3</v>
      </c>
      <c r="R23" s="147">
        <f t="shared" si="10"/>
        <v>3.2725868801451573E-3</v>
      </c>
      <c r="S23" s="156">
        <f t="shared" si="19"/>
        <v>0.17533450853986579</v>
      </c>
      <c r="T23" s="156">
        <f t="shared" si="11"/>
        <v>0.1941452613948231</v>
      </c>
      <c r="U23" s="165">
        <f>R23*$G23</f>
        <v>0.21441086456123437</v>
      </c>
      <c r="V23" s="114"/>
      <c r="W23" s="154">
        <f t="shared" si="13"/>
        <v>0.94020532745988006</v>
      </c>
      <c r="Z23" s="179"/>
      <c r="AA23" s="179"/>
    </row>
    <row r="24" spans="1:27" x14ac:dyDescent="0.25">
      <c r="A24" s="163"/>
      <c r="B24" s="163"/>
      <c r="C24" s="438"/>
      <c r="D24" s="147" t="s">
        <v>192</v>
      </c>
      <c r="E24" s="166">
        <f t="shared" si="20"/>
        <v>59.25925925925921</v>
      </c>
      <c r="F24" s="167">
        <f t="shared" si="21"/>
        <v>60.714285714285737</v>
      </c>
      <c r="G24" s="168">
        <f t="shared" si="22"/>
        <v>62.068965517241352</v>
      </c>
      <c r="H24" s="147">
        <f t="shared" si="14"/>
        <v>5.9794672540119928E-2</v>
      </c>
      <c r="I24" s="164">
        <f t="shared" si="14"/>
        <v>0.16459752684908685</v>
      </c>
      <c r="J24" s="164">
        <f t="shared" si="15"/>
        <v>9.7539275169829159E-2</v>
      </c>
      <c r="K24" s="147">
        <f t="shared" si="16"/>
        <v>9.9934212729802768E-2</v>
      </c>
      <c r="L24" s="147">
        <f t="shared" si="17"/>
        <v>0.10216398218219179</v>
      </c>
      <c r="M24" s="147">
        <f t="shared" si="6"/>
        <v>0.42250708528971176</v>
      </c>
      <c r="N24" s="147">
        <f t="shared" si="7"/>
        <v>0.44878130572936165</v>
      </c>
      <c r="O24" s="164">
        <f t="shared" si="18"/>
        <v>0.47716929771037736</v>
      </c>
      <c r="P24" s="147">
        <f t="shared" si="8"/>
        <v>2.4642003340910879E-3</v>
      </c>
      <c r="Q24" s="147">
        <f t="shared" si="9"/>
        <v>2.6817077381081399E-3</v>
      </c>
      <c r="R24" s="147">
        <f t="shared" si="10"/>
        <v>2.914961323535796E-3</v>
      </c>
      <c r="S24" s="156">
        <f t="shared" si="19"/>
        <v>0.14602668646465694</v>
      </c>
      <c r="T24" s="156">
        <f t="shared" si="11"/>
        <v>0.16281796981370855</v>
      </c>
      <c r="U24" s="165">
        <f t="shared" ref="U24:U61" si="23">R24*$G24</f>
        <v>0.18092863387463554</v>
      </c>
      <c r="V24" s="114"/>
      <c r="W24" s="154">
        <f t="shared" si="13"/>
        <v>0.94020532745988006</v>
      </c>
      <c r="X24" s="180"/>
      <c r="Z24" s="131"/>
      <c r="AA24" s="131"/>
    </row>
    <row r="25" spans="1:27" x14ac:dyDescent="0.25">
      <c r="A25" s="163"/>
      <c r="B25" s="163"/>
      <c r="C25" s="438"/>
      <c r="D25" s="147" t="s">
        <v>193</v>
      </c>
      <c r="E25" s="166">
        <f t="shared" si="20"/>
        <v>55.555555555555507</v>
      </c>
      <c r="F25" s="167">
        <f t="shared" si="21"/>
        <v>57.142857142857167</v>
      </c>
      <c r="G25" s="168">
        <f t="shared" si="22"/>
        <v>58.620689655172384</v>
      </c>
      <c r="H25" s="147">
        <f t="shared" si="14"/>
        <v>5.9794672540119928E-2</v>
      </c>
      <c r="I25" s="164">
        <f t="shared" si="14"/>
        <v>0.16459752684908685</v>
      </c>
      <c r="J25" s="164">
        <f t="shared" si="15"/>
        <v>9.1443070471714835E-2</v>
      </c>
      <c r="K25" s="147">
        <f t="shared" si="16"/>
        <v>9.4055729628049672E-2</v>
      </c>
      <c r="L25" s="147">
        <f t="shared" si="17"/>
        <v>9.6488205394292231E-2</v>
      </c>
      <c r="M25" s="147">
        <f t="shared" si="6"/>
        <v>0.39724341247893291</v>
      </c>
      <c r="N25" s="147">
        <f t="shared" si="7"/>
        <v>0.42194657451114703</v>
      </c>
      <c r="O25" s="164">
        <f t="shared" si="18"/>
        <v>0.44863711580758636</v>
      </c>
      <c r="P25" s="147">
        <f t="shared" si="8"/>
        <v>2.1720508894133039E-3</v>
      </c>
      <c r="Q25" s="147">
        <f t="shared" si="9"/>
        <v>2.3730408489973254E-3</v>
      </c>
      <c r="R25" s="147">
        <f t="shared" si="10"/>
        <v>2.5884031565207547E-3</v>
      </c>
      <c r="S25" s="156">
        <f t="shared" si="19"/>
        <v>0.12066949385629455</v>
      </c>
      <c r="T25" s="156">
        <f t="shared" si="11"/>
        <v>0.13560233422841866</v>
      </c>
      <c r="U25" s="165">
        <f t="shared" si="23"/>
        <v>0.15173397814087175</v>
      </c>
      <c r="V25" s="114"/>
      <c r="W25" s="154">
        <f t="shared" si="13"/>
        <v>0.94020532745988006</v>
      </c>
      <c r="Z25" s="181"/>
      <c r="AA25" s="179"/>
    </row>
    <row r="26" spans="1:27" x14ac:dyDescent="0.25">
      <c r="A26" s="163"/>
      <c r="B26" s="163"/>
      <c r="C26" s="438"/>
      <c r="D26" s="147" t="s">
        <v>194</v>
      </c>
      <c r="E26" s="166">
        <f t="shared" si="20"/>
        <v>51.851851851851805</v>
      </c>
      <c r="F26" s="167">
        <f t="shared" si="21"/>
        <v>53.571428571428598</v>
      </c>
      <c r="G26" s="168">
        <f t="shared" si="22"/>
        <v>55.172413793103416</v>
      </c>
      <c r="H26" s="147">
        <f t="shared" si="14"/>
        <v>5.9794672540119928E-2</v>
      </c>
      <c r="I26" s="164">
        <f t="shared" si="14"/>
        <v>0.16459752684908685</v>
      </c>
      <c r="J26" s="164">
        <f t="shared" si="15"/>
        <v>8.5346865773600525E-2</v>
      </c>
      <c r="K26" s="147">
        <f t="shared" si="16"/>
        <v>8.8177246526296577E-2</v>
      </c>
      <c r="L26" s="147">
        <f t="shared" si="17"/>
        <v>9.0812428606392701E-2</v>
      </c>
      <c r="M26" s="147">
        <f t="shared" si="6"/>
        <v>0.3734903727110353</v>
      </c>
      <c r="N26" s="147">
        <f t="shared" si="7"/>
        <v>0.39671641725882767</v>
      </c>
      <c r="O26" s="164">
        <f t="shared" si="18"/>
        <v>0.42181100637852786</v>
      </c>
      <c r="P26" s="147">
        <f t="shared" si="8"/>
        <v>1.9060288965576685E-3</v>
      </c>
      <c r="Q26" s="147">
        <f t="shared" si="9"/>
        <v>2.0916990454755021E-3</v>
      </c>
      <c r="R26" s="147">
        <f t="shared" si="10"/>
        <v>2.2904757057645025E-3</v>
      </c>
      <c r="S26" s="156">
        <f t="shared" si="19"/>
        <v>9.8831127969656804E-2</v>
      </c>
      <c r="T26" s="156">
        <f t="shared" si="11"/>
        <v>0.11205530600761623</v>
      </c>
      <c r="U26" s="165">
        <f t="shared" si="23"/>
        <v>0.12637107342148973</v>
      </c>
      <c r="V26" s="114"/>
      <c r="W26" s="154">
        <f t="shared" si="13"/>
        <v>0.94020532745988006</v>
      </c>
      <c r="Y26" s="181"/>
      <c r="Z26" s="181"/>
      <c r="AA26" s="179"/>
    </row>
    <row r="27" spans="1:27" x14ac:dyDescent="0.25">
      <c r="A27" s="163"/>
      <c r="B27" s="163"/>
      <c r="C27" s="438"/>
      <c r="D27" s="147" t="s">
        <v>195</v>
      </c>
      <c r="E27" s="166">
        <f t="shared" si="20"/>
        <v>48.148148148148103</v>
      </c>
      <c r="F27" s="167">
        <f t="shared" si="21"/>
        <v>50.000000000000028</v>
      </c>
      <c r="G27" s="168">
        <f t="shared" si="22"/>
        <v>51.724137931034448</v>
      </c>
      <c r="H27" s="147">
        <f t="shared" si="14"/>
        <v>5.9794672540119928E-2</v>
      </c>
      <c r="I27" s="164">
        <f t="shared" si="14"/>
        <v>0.16459752684908685</v>
      </c>
      <c r="J27" s="164">
        <f t="shared" si="15"/>
        <v>7.9250661075486187E-2</v>
      </c>
      <c r="K27" s="147">
        <f t="shared" si="16"/>
        <v>8.2298763424543467E-2</v>
      </c>
      <c r="L27" s="147">
        <f t="shared" si="17"/>
        <v>8.5136651818493142E-2</v>
      </c>
      <c r="M27" s="147">
        <f t="shared" si="6"/>
        <v>0.35115763817789158</v>
      </c>
      <c r="N27" s="147">
        <f t="shared" si="7"/>
        <v>0.37299488899754646</v>
      </c>
      <c r="O27" s="164">
        <f t="shared" si="18"/>
        <v>0.39658895537830535</v>
      </c>
      <c r="P27" s="147">
        <f t="shared" si="8"/>
        <v>1.6640543426334252E-3</v>
      </c>
      <c r="Q27" s="147">
        <f t="shared" si="9"/>
        <v>1.8355181469322252E-3</v>
      </c>
      <c r="R27" s="147">
        <f t="shared" si="10"/>
        <v>2.0189226196661377E-3</v>
      </c>
      <c r="S27" s="156">
        <f t="shared" si="19"/>
        <v>8.0121135015683353E-2</v>
      </c>
      <c r="T27" s="156">
        <f t="shared" si="11"/>
        <v>9.1775907346611313E-2</v>
      </c>
      <c r="U27" s="165">
        <f t="shared" si="23"/>
        <v>0.10442703205169671</v>
      </c>
      <c r="V27" s="114"/>
      <c r="W27" s="154">
        <f t="shared" si="13"/>
        <v>0.94020532745988006</v>
      </c>
      <c r="Y27" s="181"/>
      <c r="Z27" s="181"/>
      <c r="AA27" s="179"/>
    </row>
    <row r="28" spans="1:27" x14ac:dyDescent="0.25">
      <c r="A28" s="163"/>
      <c r="B28" s="163"/>
      <c r="C28" s="438"/>
      <c r="D28" s="147" t="s">
        <v>196</v>
      </c>
      <c r="E28" s="166">
        <f t="shared" si="20"/>
        <v>44.4444444444444</v>
      </c>
      <c r="F28" s="167">
        <f t="shared" si="21"/>
        <v>46.428571428571459</v>
      </c>
      <c r="G28" s="168">
        <f t="shared" si="22"/>
        <v>48.27586206896548</v>
      </c>
      <c r="H28" s="147">
        <f t="shared" si="14"/>
        <v>5.9794672540119928E-2</v>
      </c>
      <c r="I28" s="164">
        <f t="shared" si="14"/>
        <v>0.16459752684908685</v>
      </c>
      <c r="J28" s="164">
        <f t="shared" si="15"/>
        <v>7.3154456377371863E-2</v>
      </c>
      <c r="K28" s="147">
        <f t="shared" si="16"/>
        <v>7.6420280322790371E-2</v>
      </c>
      <c r="L28" s="147">
        <f t="shared" si="17"/>
        <v>7.9460875030593583E-2</v>
      </c>
      <c r="M28" s="147">
        <f t="shared" si="6"/>
        <v>0.33016028219308263</v>
      </c>
      <c r="N28" s="147">
        <f t="shared" si="7"/>
        <v>0.35069178175079979</v>
      </c>
      <c r="O28" s="164">
        <f t="shared" si="18"/>
        <v>0.37287504865843135</v>
      </c>
      <c r="P28" s="147">
        <f t="shared" si="8"/>
        <v>1.4442025459631028E-3</v>
      </c>
      <c r="Q28" s="147">
        <f t="shared" si="9"/>
        <v>1.6024950875096107E-3</v>
      </c>
      <c r="R28" s="147">
        <f t="shared" si="10"/>
        <v>1.7716550158900688E-3</v>
      </c>
      <c r="S28" s="156">
        <f t="shared" si="19"/>
        <v>6.4186779820582282E-2</v>
      </c>
      <c r="T28" s="156">
        <f t="shared" si="11"/>
        <v>7.4401557634374824E-2</v>
      </c>
      <c r="U28" s="165">
        <f t="shared" si="23"/>
        <v>8.5528173180899808E-2</v>
      </c>
      <c r="V28" s="114"/>
      <c r="W28" s="154">
        <f t="shared" si="13"/>
        <v>0.94020532745988006</v>
      </c>
      <c r="Y28" s="179"/>
      <c r="Z28" s="179"/>
      <c r="AA28" s="179"/>
    </row>
    <row r="29" spans="1:27" x14ac:dyDescent="0.25">
      <c r="A29" s="163"/>
      <c r="B29" s="163"/>
      <c r="C29" s="438"/>
      <c r="D29" s="147" t="s">
        <v>197</v>
      </c>
      <c r="E29" s="166">
        <f t="shared" si="20"/>
        <v>40.740740740740698</v>
      </c>
      <c r="F29" s="167">
        <f t="shared" si="21"/>
        <v>42.85714285714289</v>
      </c>
      <c r="G29" s="168">
        <f t="shared" si="22"/>
        <v>44.827586206896513</v>
      </c>
      <c r="H29" s="147">
        <f t="shared" si="14"/>
        <v>5.9794672540119928E-2</v>
      </c>
      <c r="I29" s="164">
        <f t="shared" si="14"/>
        <v>0.16459752684908685</v>
      </c>
      <c r="J29" s="164">
        <f t="shared" si="15"/>
        <v>6.7058251679257538E-2</v>
      </c>
      <c r="K29" s="147">
        <f t="shared" si="16"/>
        <v>7.0541797221037275E-2</v>
      </c>
      <c r="L29" s="147">
        <f t="shared" si="17"/>
        <v>7.3785098242694039E-2</v>
      </c>
      <c r="M29" s="147">
        <f t="shared" si="6"/>
        <v>0.31041845623359365</v>
      </c>
      <c r="N29" s="147">
        <f t="shared" si="7"/>
        <v>0.32972228149849953</v>
      </c>
      <c r="O29" s="164">
        <f t="shared" si="18"/>
        <v>0.35057910722551916</v>
      </c>
      <c r="P29" s="147">
        <f t="shared" si="8"/>
        <v>1.2446930170084958E-3</v>
      </c>
      <c r="Q29" s="147">
        <f t="shared" si="9"/>
        <v>1.3907763863121444E-3</v>
      </c>
      <c r="R29" s="147">
        <f t="shared" si="10"/>
        <v>1.5467395211922284E-3</v>
      </c>
      <c r="S29" s="156">
        <f t="shared" si="19"/>
        <v>5.0709715507753481E-2</v>
      </c>
      <c r="T29" s="156">
        <f t="shared" si="11"/>
        <v>5.9604702270520518E-2</v>
      </c>
      <c r="U29" s="165">
        <f t="shared" si="23"/>
        <v>6.9336599225858456E-2</v>
      </c>
      <c r="V29" s="114"/>
      <c r="W29" s="154">
        <f t="shared" si="13"/>
        <v>0.94020532745988006</v>
      </c>
      <c r="Y29" s="179"/>
      <c r="Z29" s="179"/>
      <c r="AA29" s="179"/>
    </row>
    <row r="30" spans="1:27" x14ac:dyDescent="0.25">
      <c r="A30" s="163"/>
      <c r="B30" s="163"/>
      <c r="C30" s="438"/>
      <c r="D30" s="147" t="s">
        <v>198</v>
      </c>
      <c r="E30" s="166">
        <f t="shared" si="20"/>
        <v>37.037037037036995</v>
      </c>
      <c r="F30" s="167">
        <f t="shared" si="21"/>
        <v>39.28571428571432</v>
      </c>
      <c r="G30" s="168">
        <f t="shared" si="22"/>
        <v>41.379310344827545</v>
      </c>
      <c r="H30" s="147">
        <f t="shared" ref="H30:I45" si="24">H29</f>
        <v>5.9794672540119928E-2</v>
      </c>
      <c r="I30" s="164">
        <f t="shared" si="24"/>
        <v>0.16459752684908685</v>
      </c>
      <c r="J30" s="164">
        <f t="shared" si="15"/>
        <v>6.0962046981143214E-2</v>
      </c>
      <c r="K30" s="147">
        <f t="shared" si="16"/>
        <v>6.4663314119284179E-2</v>
      </c>
      <c r="L30" s="147">
        <f t="shared" si="17"/>
        <v>6.8109321454794494E-2</v>
      </c>
      <c r="M30" s="147">
        <f t="shared" si="6"/>
        <v>0.29185708629269635</v>
      </c>
      <c r="N30" s="147">
        <f t="shared" si="7"/>
        <v>0.3100066456471155</v>
      </c>
      <c r="O30" s="164">
        <f t="shared" si="18"/>
        <v>0.32961634430956166</v>
      </c>
      <c r="P30" s="147">
        <f t="shared" si="8"/>
        <v>1.0638790960395442E-3</v>
      </c>
      <c r="Q30" s="147">
        <f t="shared" si="9"/>
        <v>1.1986474204064052E-3</v>
      </c>
      <c r="R30" s="147">
        <f t="shared" si="10"/>
        <v>1.3423871427855481E-3</v>
      </c>
      <c r="S30" s="156">
        <f t="shared" si="19"/>
        <v>3.9402929482946034E-2</v>
      </c>
      <c r="T30" s="156">
        <f t="shared" si="11"/>
        <v>4.7089720087394531E-2</v>
      </c>
      <c r="U30" s="165">
        <f t="shared" si="23"/>
        <v>5.5547054184229526E-2</v>
      </c>
      <c r="W30" s="154">
        <f t="shared" si="13"/>
        <v>0.94020532745988006</v>
      </c>
    </row>
    <row r="31" spans="1:27" x14ac:dyDescent="0.25">
      <c r="A31" s="163"/>
      <c r="B31" s="163"/>
      <c r="C31" s="438"/>
      <c r="D31" s="147" t="s">
        <v>199</v>
      </c>
      <c r="E31" s="166">
        <f t="shared" si="20"/>
        <v>33.333333333333293</v>
      </c>
      <c r="F31" s="167">
        <f t="shared" si="21"/>
        <v>35.714285714285751</v>
      </c>
      <c r="G31" s="168">
        <f t="shared" si="22"/>
        <v>37.931034482758577</v>
      </c>
      <c r="H31" s="147">
        <f t="shared" si="24"/>
        <v>5.9794672540119928E-2</v>
      </c>
      <c r="I31" s="164">
        <f t="shared" si="24"/>
        <v>0.16459752684908685</v>
      </c>
      <c r="J31" s="164">
        <f t="shared" si="15"/>
        <v>5.4865842283028883E-2</v>
      </c>
      <c r="K31" s="147">
        <f t="shared" si="16"/>
        <v>5.8784831017531076E-2</v>
      </c>
      <c r="L31" s="147">
        <f t="shared" si="17"/>
        <v>6.2433544666894943E-2</v>
      </c>
      <c r="M31" s="147">
        <f t="shared" si="6"/>
        <v>0.27440558738931103</v>
      </c>
      <c r="N31" s="147">
        <f t="shared" si="7"/>
        <v>0.29146989978538523</v>
      </c>
      <c r="O31" s="164">
        <f t="shared" si="18"/>
        <v>0.30990704293769999</v>
      </c>
      <c r="P31" s="147">
        <f t="shared" si="8"/>
        <v>9.0023831448262249E-4</v>
      </c>
      <c r="Q31" s="147">
        <f t="shared" si="9"/>
        <v>1.0245224458292226E-3</v>
      </c>
      <c r="R31" s="147">
        <f t="shared" si="10"/>
        <v>1.1569429145639005E-3</v>
      </c>
      <c r="S31" s="156">
        <f t="shared" si="19"/>
        <v>3.000794381608738E-2</v>
      </c>
      <c r="T31" s="156">
        <f t="shared" si="11"/>
        <v>3.6590087351043701E-2</v>
      </c>
      <c r="U31" s="165">
        <f t="shared" si="23"/>
        <v>4.3884041586906522E-2</v>
      </c>
      <c r="W31" s="154">
        <f t="shared" si="13"/>
        <v>0.94020532745988006</v>
      </c>
    </row>
    <row r="32" spans="1:27" x14ac:dyDescent="0.25">
      <c r="A32" s="163"/>
      <c r="B32" s="163"/>
      <c r="C32" s="438"/>
      <c r="D32" s="147" t="s">
        <v>200</v>
      </c>
      <c r="E32" s="166">
        <f t="shared" si="20"/>
        <v>29.629629629629591</v>
      </c>
      <c r="F32" s="167">
        <f t="shared" si="21"/>
        <v>32.142857142857181</v>
      </c>
      <c r="G32" s="168">
        <f t="shared" si="22"/>
        <v>34.482758620689609</v>
      </c>
      <c r="H32" s="147">
        <f t="shared" si="24"/>
        <v>5.9794672540119928E-2</v>
      </c>
      <c r="I32" s="164">
        <f t="shared" si="24"/>
        <v>0.16459752684908685</v>
      </c>
      <c r="J32" s="164">
        <f t="shared" si="15"/>
        <v>4.8769637584914566E-2</v>
      </c>
      <c r="K32" s="147">
        <f t="shared" si="16"/>
        <v>5.2906347915777981E-2</v>
      </c>
      <c r="L32" s="147">
        <f t="shared" si="17"/>
        <v>5.6757767878995391E-2</v>
      </c>
      <c r="M32" s="147">
        <f t="shared" si="6"/>
        <v>0.25799759514818793</v>
      </c>
      <c r="N32" s="147">
        <f t="shared" si="7"/>
        <v>0.27404155257241652</v>
      </c>
      <c r="O32" s="164">
        <f t="shared" si="18"/>
        <v>0.29137625278736334</v>
      </c>
      <c r="P32" s="147">
        <f t="shared" si="8"/>
        <v>7.5236343045339085E-4</v>
      </c>
      <c r="Q32" s="147">
        <f t="shared" si="9"/>
        <v>8.6693531550377544E-4</v>
      </c>
      <c r="R32" s="147">
        <f t="shared" si="10"/>
        <v>9.8887626530903632E-4</v>
      </c>
      <c r="S32" s="156">
        <f t="shared" si="19"/>
        <v>2.2292249791211551E-2</v>
      </c>
      <c r="T32" s="156">
        <f t="shared" si="11"/>
        <v>2.7865777998335672E-2</v>
      </c>
      <c r="U32" s="165">
        <f t="shared" si="23"/>
        <v>3.4099181562380516E-2</v>
      </c>
      <c r="W32" s="154">
        <f t="shared" si="13"/>
        <v>0.94020532745988006</v>
      </c>
    </row>
    <row r="33" spans="1:23" x14ac:dyDescent="0.25">
      <c r="A33" s="163"/>
      <c r="B33" s="163"/>
      <c r="C33" s="438"/>
      <c r="D33" s="147" t="s">
        <v>201</v>
      </c>
      <c r="E33" s="166">
        <f t="shared" si="20"/>
        <v>25.925925925925888</v>
      </c>
      <c r="F33" s="167">
        <f t="shared" si="21"/>
        <v>28.571428571428608</v>
      </c>
      <c r="G33" s="168">
        <f t="shared" si="22"/>
        <v>31.034482758620644</v>
      </c>
      <c r="H33" s="147">
        <f t="shared" si="24"/>
        <v>5.9794672540119928E-2</v>
      </c>
      <c r="I33" s="164">
        <f t="shared" si="24"/>
        <v>0.16459752684908685</v>
      </c>
      <c r="J33" s="164">
        <f t="shared" si="15"/>
        <v>4.2673432886800235E-2</v>
      </c>
      <c r="K33" s="147">
        <f t="shared" si="16"/>
        <v>4.7027864814024871E-2</v>
      </c>
      <c r="L33" s="147">
        <f t="shared" si="17"/>
        <v>5.1081991091095846E-2</v>
      </c>
      <c r="M33" s="147">
        <f t="shared" si="6"/>
        <v>0.24257071343016359</v>
      </c>
      <c r="N33" s="147">
        <f t="shared" si="7"/>
        <v>0.25765532767396282</v>
      </c>
      <c r="O33" s="164">
        <f t="shared" si="18"/>
        <v>0.27395350516597572</v>
      </c>
      <c r="P33" s="147">
        <f t="shared" si="8"/>
        <v>6.1895409231098515E-4</v>
      </c>
      <c r="Q33" s="147">
        <f t="shared" si="9"/>
        <v>7.2453084639978818E-4</v>
      </c>
      <c r="R33" s="147">
        <f t="shared" si="10"/>
        <v>8.3677205955796701E-4</v>
      </c>
      <c r="S33" s="156">
        <f t="shared" si="19"/>
        <v>1.6046957948803297E-2</v>
      </c>
      <c r="T33" s="156">
        <f t="shared" si="11"/>
        <v>2.070088132570826E-2</v>
      </c>
      <c r="U33" s="165">
        <f t="shared" si="23"/>
        <v>2.5968788055247213E-2</v>
      </c>
      <c r="W33" s="154">
        <f t="shared" si="13"/>
        <v>0.94020532745988006</v>
      </c>
    </row>
    <row r="34" spans="1:23" x14ac:dyDescent="0.25">
      <c r="A34" s="163"/>
      <c r="B34" s="163"/>
      <c r="C34" s="438"/>
      <c r="D34" s="147" t="s">
        <v>202</v>
      </c>
      <c r="E34" s="166">
        <f t="shared" si="20"/>
        <v>22.222222222222186</v>
      </c>
      <c r="F34" s="167">
        <f t="shared" si="21"/>
        <v>25.000000000000036</v>
      </c>
      <c r="G34" s="168">
        <f t="shared" si="22"/>
        <v>27.58620689655168</v>
      </c>
      <c r="H34" s="147">
        <f t="shared" si="24"/>
        <v>5.9794672540119928E-2</v>
      </c>
      <c r="I34" s="164">
        <f t="shared" si="24"/>
        <v>0.16459752684908685</v>
      </c>
      <c r="J34" s="164">
        <f t="shared" si="15"/>
        <v>3.657722818868591E-2</v>
      </c>
      <c r="K34" s="147">
        <f t="shared" si="16"/>
        <v>4.1149381712271768E-2</v>
      </c>
      <c r="L34" s="147">
        <f t="shared" si="17"/>
        <v>4.5406214303196302E-2</v>
      </c>
      <c r="M34" s="147">
        <f t="shared" si="6"/>
        <v>0.22806627705278368</v>
      </c>
      <c r="N34" s="147">
        <f t="shared" si="7"/>
        <v>0.24224891172748092</v>
      </c>
      <c r="O34" s="164">
        <f t="shared" si="18"/>
        <v>0.25757254503335814</v>
      </c>
      <c r="P34" s="147">
        <f t="shared" si="8"/>
        <v>4.9880908718047076E-4</v>
      </c>
      <c r="Q34" s="147">
        <f t="shared" si="9"/>
        <v>5.9605679148233494E-4</v>
      </c>
      <c r="R34" s="147">
        <f t="shared" si="10"/>
        <v>6.9932226512531238E-4</v>
      </c>
      <c r="S34" s="156">
        <f t="shared" si="19"/>
        <v>1.1084646381788221E-2</v>
      </c>
      <c r="T34" s="156">
        <f t="shared" si="11"/>
        <v>1.4901419787058395E-2</v>
      </c>
      <c r="U34" s="165">
        <f t="shared" si="23"/>
        <v>1.9291648693112035E-2</v>
      </c>
      <c r="W34" s="154">
        <f t="shared" si="13"/>
        <v>0.94020532745988006</v>
      </c>
    </row>
    <row r="35" spans="1:23" x14ac:dyDescent="0.25">
      <c r="A35" s="163"/>
      <c r="B35" s="163"/>
      <c r="C35" s="438"/>
      <c r="D35" s="147" t="s">
        <v>203</v>
      </c>
      <c r="E35" s="166">
        <f t="shared" si="20"/>
        <v>18.518518518518484</v>
      </c>
      <c r="F35" s="167">
        <f t="shared" si="21"/>
        <v>21.428571428571463</v>
      </c>
      <c r="G35" s="168">
        <f t="shared" si="22"/>
        <v>24.137931034482715</v>
      </c>
      <c r="H35" s="147">
        <f t="shared" si="24"/>
        <v>5.9794672540119928E-2</v>
      </c>
      <c r="I35" s="164">
        <f t="shared" si="24"/>
        <v>0.16459752684908685</v>
      </c>
      <c r="J35" s="164">
        <f t="shared" si="15"/>
        <v>3.0481023490571579E-2</v>
      </c>
      <c r="K35" s="147">
        <f t="shared" si="16"/>
        <v>3.5270898610518665E-2</v>
      </c>
      <c r="L35" s="147">
        <f t="shared" si="17"/>
        <v>3.9730437515296757E-2</v>
      </c>
      <c r="M35" s="147">
        <f t="shared" si="6"/>
        <v>0.21442912869896821</v>
      </c>
      <c r="N35" s="147">
        <f t="shared" si="7"/>
        <v>0.22776371737753578</v>
      </c>
      <c r="O35" s="164">
        <f t="shared" si="18"/>
        <v>0.24217107904776319</v>
      </c>
      <c r="P35" s="147">
        <f t="shared" si="8"/>
        <v>3.9081913429373183E-4</v>
      </c>
      <c r="Q35" s="147">
        <f t="shared" si="9"/>
        <v>4.8035637498885792E-4</v>
      </c>
      <c r="R35" s="147">
        <f t="shared" si="10"/>
        <v>5.7531820437186308E-4</v>
      </c>
      <c r="S35" s="156">
        <f t="shared" si="19"/>
        <v>7.2373913758098348E-3</v>
      </c>
      <c r="T35" s="156">
        <f t="shared" si="11"/>
        <v>1.0293350892618401E-2</v>
      </c>
      <c r="U35" s="165">
        <f t="shared" si="23"/>
        <v>1.3886991140010463E-2</v>
      </c>
      <c r="W35" s="154">
        <f t="shared" si="13"/>
        <v>0.94020532745988006</v>
      </c>
    </row>
    <row r="36" spans="1:23" x14ac:dyDescent="0.25">
      <c r="A36" s="163"/>
      <c r="B36" s="163"/>
      <c r="C36" s="438"/>
      <c r="D36" s="147" t="s">
        <v>204</v>
      </c>
      <c r="E36" s="166">
        <f t="shared" si="20"/>
        <v>14.814814814814779</v>
      </c>
      <c r="F36" s="167">
        <f t="shared" si="21"/>
        <v>17.85714285714289</v>
      </c>
      <c r="G36" s="168">
        <f t="shared" si="22"/>
        <v>20.689655172413751</v>
      </c>
      <c r="H36" s="147">
        <f t="shared" si="24"/>
        <v>5.9794672540119928E-2</v>
      </c>
      <c r="I36" s="164">
        <f t="shared" si="24"/>
        <v>0.16459752684908685</v>
      </c>
      <c r="J36" s="164">
        <f t="shared" si="15"/>
        <v>2.4384818792457255E-2</v>
      </c>
      <c r="K36" s="147">
        <f t="shared" si="16"/>
        <v>2.9392415508765563E-2</v>
      </c>
      <c r="L36" s="147">
        <f t="shared" si="17"/>
        <v>3.4054660727397212E-2</v>
      </c>
      <c r="M36" s="147">
        <f t="shared" si="6"/>
        <v>0.20160740916535017</v>
      </c>
      <c r="N36" s="147">
        <f t="shared" si="7"/>
        <v>0.2141446604804256</v>
      </c>
      <c r="O36" s="164">
        <f t="shared" si="18"/>
        <v>0.22769053867741471</v>
      </c>
      <c r="P36" s="147">
        <f t="shared" si="8"/>
        <v>2.9396018570897989E-4</v>
      </c>
      <c r="Q36" s="147">
        <f t="shared" si="9"/>
        <v>3.7636135236986682E-4</v>
      </c>
      <c r="R36" s="147">
        <f t="shared" si="10"/>
        <v>4.6364334920149521E-4</v>
      </c>
      <c r="S36" s="156">
        <f t="shared" si="19"/>
        <v>4.3549657142070994E-3</v>
      </c>
      <c r="T36" s="156">
        <f t="shared" si="11"/>
        <v>6.7207384351762054E-3</v>
      </c>
      <c r="U36" s="165">
        <f t="shared" si="23"/>
        <v>9.5926210179619505E-3</v>
      </c>
      <c r="W36" s="154">
        <f t="shared" si="13"/>
        <v>0.94020532745988006</v>
      </c>
    </row>
    <row r="37" spans="1:23" x14ac:dyDescent="0.25">
      <c r="A37" s="163"/>
      <c r="B37" s="163"/>
      <c r="C37" s="438"/>
      <c r="D37" s="147" t="s">
        <v>205</v>
      </c>
      <c r="E37" s="166">
        <f t="shared" si="20"/>
        <v>11.111111111111075</v>
      </c>
      <c r="F37" s="167">
        <f t="shared" si="21"/>
        <v>14.285714285714318</v>
      </c>
      <c r="G37" s="168">
        <f t="shared" si="22"/>
        <v>17.241379310344787</v>
      </c>
      <c r="H37" s="147">
        <f t="shared" si="24"/>
        <v>5.9794672540119928E-2</v>
      </c>
      <c r="I37" s="164">
        <f t="shared" si="24"/>
        <v>0.16459752684908685</v>
      </c>
      <c r="J37" s="164">
        <f t="shared" si="15"/>
        <v>1.8288614094342924E-2</v>
      </c>
      <c r="K37" s="147">
        <f t="shared" si="16"/>
        <v>2.351393240701246E-2</v>
      </c>
      <c r="L37" s="147">
        <f t="shared" si="17"/>
        <v>2.8378883939497664E-2</v>
      </c>
      <c r="M37" s="147">
        <f t="shared" si="6"/>
        <v>0.18955236015264607</v>
      </c>
      <c r="N37" s="147">
        <f t="shared" si="7"/>
        <v>0.20133995063078339</v>
      </c>
      <c r="O37" s="164">
        <f t="shared" si="18"/>
        <v>0.21407585747671518</v>
      </c>
      <c r="P37" s="147">
        <f t="shared" si="8"/>
        <v>2.0728719949850873E-4</v>
      </c>
      <c r="Q37" s="147">
        <f t="shared" si="9"/>
        <v>2.8308555883852329E-4</v>
      </c>
      <c r="R37" s="147">
        <f t="shared" si="10"/>
        <v>3.6326662246715589E-4</v>
      </c>
      <c r="S37" s="156">
        <f t="shared" si="19"/>
        <v>2.3031911055389786E-3</v>
      </c>
      <c r="T37" s="156">
        <f t="shared" si="11"/>
        <v>4.0440794119789136E-3</v>
      </c>
      <c r="U37" s="165">
        <f t="shared" si="23"/>
        <v>6.2632176287440522E-3</v>
      </c>
      <c r="W37" s="154">
        <f t="shared" si="13"/>
        <v>0.94020532745988006</v>
      </c>
    </row>
    <row r="38" spans="1:23" x14ac:dyDescent="0.25">
      <c r="A38" s="163"/>
      <c r="B38" s="163"/>
      <c r="C38" s="438"/>
      <c r="D38" s="147" t="s">
        <v>206</v>
      </c>
      <c r="E38" s="166">
        <f t="shared" si="20"/>
        <v>7.407407407407371</v>
      </c>
      <c r="F38" s="167">
        <f t="shared" si="21"/>
        <v>10.714285714285747</v>
      </c>
      <c r="G38" s="168">
        <f t="shared" si="22"/>
        <v>13.793103448275822</v>
      </c>
      <c r="H38" s="147">
        <f t="shared" si="24"/>
        <v>5.9794672540119928E-2</v>
      </c>
      <c r="I38" s="164">
        <f t="shared" si="24"/>
        <v>0.16459752684908685</v>
      </c>
      <c r="J38" s="164">
        <f t="shared" si="15"/>
        <v>1.2192409396228596E-2</v>
      </c>
      <c r="K38" s="147">
        <f t="shared" si="16"/>
        <v>1.7635449305259357E-2</v>
      </c>
      <c r="L38" s="147">
        <f t="shared" si="17"/>
        <v>2.270310715159812E-2</v>
      </c>
      <c r="M38" s="147">
        <f t="shared" si="6"/>
        <v>0.17821813884811172</v>
      </c>
      <c r="N38" s="147">
        <f t="shared" si="7"/>
        <v>0.18930089421357177</v>
      </c>
      <c r="O38" s="164">
        <f t="shared" si="18"/>
        <v>0.20127526168014961</v>
      </c>
      <c r="P38" s="147">
        <f t="shared" si="8"/>
        <v>1.2992835285515771E-4</v>
      </c>
      <c r="Q38" s="147">
        <f t="shared" si="9"/>
        <v>1.9961891291020282E-4</v>
      </c>
      <c r="R38" s="147">
        <f t="shared" si="10"/>
        <v>2.7323617098558143E-4</v>
      </c>
      <c r="S38" s="156">
        <f t="shared" si="19"/>
        <v>9.6243224337153391E-4</v>
      </c>
      <c r="T38" s="156">
        <f t="shared" si="11"/>
        <v>2.1387740668950368E-3</v>
      </c>
      <c r="U38" s="165">
        <f t="shared" si="23"/>
        <v>3.7687747722149052E-3</v>
      </c>
      <c r="W38" s="154">
        <f t="shared" si="13"/>
        <v>0.94020532745988006</v>
      </c>
    </row>
    <row r="39" spans="1:23" x14ac:dyDescent="0.25">
      <c r="A39" s="163"/>
      <c r="B39" s="163"/>
      <c r="C39" s="438"/>
      <c r="D39" s="147" t="s">
        <v>207</v>
      </c>
      <c r="E39" s="166">
        <f t="shared" si="20"/>
        <v>3.7037037037036673</v>
      </c>
      <c r="F39" s="167">
        <f t="shared" si="21"/>
        <v>7.1428571428571761</v>
      </c>
      <c r="G39" s="168">
        <f t="shared" si="22"/>
        <v>10.344827586206858</v>
      </c>
      <c r="H39" s="147">
        <f t="shared" si="24"/>
        <v>5.9794672540119928E-2</v>
      </c>
      <c r="I39" s="164">
        <f t="shared" si="24"/>
        <v>0.16459752684908685</v>
      </c>
      <c r="J39" s="164">
        <f t="shared" si="15"/>
        <v>6.0962046981142678E-3</v>
      </c>
      <c r="K39" s="147">
        <f t="shared" si="16"/>
        <v>1.1756966203506258E-2</v>
      </c>
      <c r="L39" s="147">
        <f t="shared" si="17"/>
        <v>1.7027330363698575E-2</v>
      </c>
      <c r="M39" s="147">
        <f t="shared" si="6"/>
        <v>0.16756164359497924</v>
      </c>
      <c r="N39" s="147">
        <f t="shared" si="7"/>
        <v>0.17798170923251935</v>
      </c>
      <c r="O39" s="164">
        <f t="shared" si="18"/>
        <v>0.18924007331755813</v>
      </c>
      <c r="P39" s="147">
        <f t="shared" si="8"/>
        <v>6.10796647712529E-5</v>
      </c>
      <c r="Q39" s="147">
        <f t="shared" si="9"/>
        <v>1.2512184358661523E-4</v>
      </c>
      <c r="R39" s="147">
        <f t="shared" si="10"/>
        <v>1.9267357771153663E-4</v>
      </c>
      <c r="S39" s="156">
        <f t="shared" si="19"/>
        <v>2.2622098063426778E-4</v>
      </c>
      <c r="T39" s="156">
        <f t="shared" si="11"/>
        <v>8.9372745419011301E-4</v>
      </c>
      <c r="U39" s="165">
        <f t="shared" si="23"/>
        <v>1.9931749418434746E-3</v>
      </c>
      <c r="W39" s="154">
        <f t="shared" si="13"/>
        <v>0.94020532745988006</v>
      </c>
    </row>
    <row r="40" spans="1:23" x14ac:dyDescent="0.25">
      <c r="A40" s="163"/>
      <c r="B40" s="163"/>
      <c r="C40" s="438"/>
      <c r="D40" s="147" t="s">
        <v>208</v>
      </c>
      <c r="E40" s="166">
        <f t="shared" si="20"/>
        <v>-3.6415315207705135E-14</v>
      </c>
      <c r="F40" s="167">
        <f t="shared" si="21"/>
        <v>3.5714285714286045</v>
      </c>
      <c r="G40" s="168">
        <f t="shared" si="22"/>
        <v>6.8965517241378924</v>
      </c>
      <c r="H40" s="147">
        <f t="shared" si="24"/>
        <v>5.9794672540119928E-2</v>
      </c>
      <c r="I40" s="164">
        <f t="shared" si="24"/>
        <v>0.16459752684908685</v>
      </c>
      <c r="J40" s="164">
        <f t="shared" si="15"/>
        <v>-5.9938708226182065E-17</v>
      </c>
      <c r="K40" s="147">
        <f t="shared" si="16"/>
        <v>5.8784831017531557E-3</v>
      </c>
      <c r="L40" s="147">
        <f t="shared" si="17"/>
        <v>1.1351553575799029E-2</v>
      </c>
      <c r="M40" s="147">
        <f t="shared" si="6"/>
        <v>0.15754234998593317</v>
      </c>
      <c r="N40" s="147">
        <f t="shared" si="7"/>
        <v>0.16733935121083002</v>
      </c>
      <c r="O40" s="164">
        <f t="shared" si="18"/>
        <v>0.17792452510206644</v>
      </c>
      <c r="P40" s="147">
        <f t="shared" si="8"/>
        <v>-5.6463421336390134E-19</v>
      </c>
      <c r="Q40" s="147">
        <f t="shared" si="9"/>
        <v>5.8820111960869005E-5</v>
      </c>
      <c r="R40" s="147">
        <f t="shared" si="10"/>
        <v>1.2076848281676105E-4</v>
      </c>
      <c r="S40" s="156">
        <f t="shared" si="19"/>
        <v>2.0561332856701102E-32</v>
      </c>
      <c r="T40" s="156">
        <f t="shared" si="11"/>
        <v>2.1007182843167695E-4</v>
      </c>
      <c r="U40" s="165">
        <f t="shared" si="23"/>
        <v>8.3288608839145086E-4</v>
      </c>
      <c r="W40" s="154">
        <f t="shared" si="13"/>
        <v>0.94020532745988006</v>
      </c>
    </row>
    <row r="41" spans="1:23" x14ac:dyDescent="0.25">
      <c r="A41" s="163"/>
      <c r="B41" s="163"/>
      <c r="C41" s="438"/>
      <c r="D41" s="147" t="s">
        <v>209</v>
      </c>
      <c r="E41" s="166">
        <f t="shared" si="20"/>
        <v>0</v>
      </c>
      <c r="F41" s="167">
        <f t="shared" si="21"/>
        <v>3.2862601528904634E-14</v>
      </c>
      <c r="G41" s="168">
        <f t="shared" si="22"/>
        <v>3.4482758620689271</v>
      </c>
      <c r="H41" s="147">
        <f t="shared" si="24"/>
        <v>5.9794672540119928E-2</v>
      </c>
      <c r="I41" s="164">
        <f t="shared" si="24"/>
        <v>0.16459752684908685</v>
      </c>
      <c r="J41" s="164">
        <f t="shared" si="15"/>
        <v>0</v>
      </c>
      <c r="K41" s="147">
        <f t="shared" si="16"/>
        <v>5.4091029374847233E-17</v>
      </c>
      <c r="L41" s="147">
        <f t="shared" si="17"/>
        <v>5.6757767878994839E-3</v>
      </c>
      <c r="M41" s="147">
        <f t="shared" si="6"/>
        <v>0.14812215675732332</v>
      </c>
      <c r="N41" s="147">
        <f t="shared" si="7"/>
        <v>0.15733334950210232</v>
      </c>
      <c r="O41" s="164">
        <f t="shared" si="18"/>
        <v>0.16728558638673202</v>
      </c>
      <c r="P41" s="147">
        <f t="shared" si="8"/>
        <v>0</v>
      </c>
      <c r="Q41" s="147">
        <f t="shared" si="9"/>
        <v>5.088719668043261E-19</v>
      </c>
      <c r="R41" s="147">
        <f t="shared" si="10"/>
        <v>5.6773585466782558E-5</v>
      </c>
      <c r="S41" s="156">
        <f t="shared" si="19"/>
        <v>0</v>
      </c>
      <c r="T41" s="156">
        <f t="shared" si="11"/>
        <v>1.6722856674320554E-32</v>
      </c>
      <c r="U41" s="165">
        <f t="shared" si="23"/>
        <v>1.9577098436821355E-4</v>
      </c>
      <c r="W41" s="154">
        <f t="shared" si="13"/>
        <v>0.94020532745988006</v>
      </c>
    </row>
    <row r="42" spans="1:23" x14ac:dyDescent="0.25">
      <c r="A42" s="163"/>
      <c r="B42" s="163"/>
      <c r="C42" s="438"/>
      <c r="D42" s="147" t="s">
        <v>210</v>
      </c>
      <c r="E42" s="166">
        <f t="shared" si="20"/>
        <v>0</v>
      </c>
      <c r="F42" s="167">
        <f t="shared" si="21"/>
        <v>0</v>
      </c>
      <c r="G42" s="168">
        <f t="shared" si="22"/>
        <v>-3.8191672047105385E-14</v>
      </c>
      <c r="H42" s="147">
        <f t="shared" si="24"/>
        <v>5.9794672540119928E-2</v>
      </c>
      <c r="I42" s="164">
        <f t="shared" si="24"/>
        <v>0.16459752684908685</v>
      </c>
      <c r="J42" s="164">
        <f t="shared" si="15"/>
        <v>0</v>
      </c>
      <c r="K42" s="147">
        <f t="shared" si="16"/>
        <v>0</v>
      </c>
      <c r="L42" s="147">
        <f t="shared" si="17"/>
        <v>-6.2862547651849485E-17</v>
      </c>
      <c r="M42" s="147">
        <f t="shared" si="6"/>
        <v>0.13926524089808287</v>
      </c>
      <c r="N42" s="147">
        <f t="shared" si="7"/>
        <v>0.14792565338898386</v>
      </c>
      <c r="O42" s="164">
        <f t="shared" si="18"/>
        <v>0.15728279952805543</v>
      </c>
      <c r="P42" s="147">
        <f t="shared" si="8"/>
        <v>0</v>
      </c>
      <c r="Q42" s="147">
        <f t="shared" si="9"/>
        <v>0</v>
      </c>
      <c r="R42" s="147">
        <f t="shared" si="10"/>
        <v>-5.9120173566498882E-19</v>
      </c>
      <c r="S42" s="156">
        <f t="shared" si="19"/>
        <v>0</v>
      </c>
      <c r="T42" s="156">
        <f t="shared" si="11"/>
        <v>0</v>
      </c>
      <c r="U42" s="165">
        <f t="shared" si="23"/>
        <v>2.2578982802196741E-32</v>
      </c>
      <c r="W42" s="154">
        <f t="shared" si="13"/>
        <v>0.94020532745988006</v>
      </c>
    </row>
    <row r="43" spans="1:23" x14ac:dyDescent="0.25">
      <c r="A43" s="163"/>
      <c r="B43" s="163"/>
      <c r="C43" s="438"/>
      <c r="D43" s="147" t="s">
        <v>211</v>
      </c>
      <c r="E43" s="166">
        <f t="shared" si="20"/>
        <v>0</v>
      </c>
      <c r="F43" s="167">
        <f t="shared" si="21"/>
        <v>0</v>
      </c>
      <c r="G43" s="168">
        <f t="shared" si="22"/>
        <v>0</v>
      </c>
      <c r="H43" s="147">
        <f t="shared" si="24"/>
        <v>5.9794672540119928E-2</v>
      </c>
      <c r="I43" s="164">
        <f t="shared" si="24"/>
        <v>0.16459752684908685</v>
      </c>
      <c r="J43" s="164">
        <f t="shared" si="15"/>
        <v>0</v>
      </c>
      <c r="K43" s="147">
        <f t="shared" si="16"/>
        <v>0</v>
      </c>
      <c r="L43" s="147">
        <f t="shared" si="17"/>
        <v>0</v>
      </c>
      <c r="M43" s="147">
        <f t="shared" si="6"/>
        <v>0.13093792142236108</v>
      </c>
      <c r="N43" s="147">
        <f t="shared" si="7"/>
        <v>0.13908048738430628</v>
      </c>
      <c r="O43" s="164">
        <f t="shared" si="18"/>
        <v>0.14787812603408204</v>
      </c>
      <c r="P43" s="147">
        <f t="shared" si="8"/>
        <v>0</v>
      </c>
      <c r="Q43" s="147">
        <f t="shared" si="9"/>
        <v>0</v>
      </c>
      <c r="R43" s="147">
        <f t="shared" si="10"/>
        <v>0</v>
      </c>
      <c r="S43" s="156">
        <f t="shared" si="19"/>
        <v>0</v>
      </c>
      <c r="T43" s="156">
        <f t="shared" si="11"/>
        <v>0</v>
      </c>
      <c r="U43" s="165">
        <f t="shared" si="23"/>
        <v>0</v>
      </c>
      <c r="W43" s="154">
        <f t="shared" si="13"/>
        <v>0.94020532745988006</v>
      </c>
    </row>
    <row r="44" spans="1:23" x14ac:dyDescent="0.25">
      <c r="A44" s="163"/>
      <c r="B44" s="163"/>
      <c r="C44" s="438"/>
      <c r="D44" s="147" t="s">
        <v>212</v>
      </c>
      <c r="E44" s="166">
        <f t="shared" si="20"/>
        <v>0</v>
      </c>
      <c r="F44" s="167">
        <f t="shared" si="21"/>
        <v>0</v>
      </c>
      <c r="G44" s="168">
        <f t="shared" si="22"/>
        <v>0</v>
      </c>
      <c r="H44" s="147">
        <f t="shared" si="24"/>
        <v>5.9794672540119928E-2</v>
      </c>
      <c r="I44" s="164">
        <f t="shared" si="24"/>
        <v>0.16459752684908685</v>
      </c>
      <c r="J44" s="164">
        <f t="shared" si="15"/>
        <v>0</v>
      </c>
      <c r="K44" s="147">
        <f t="shared" si="16"/>
        <v>0</v>
      </c>
      <c r="L44" s="147">
        <f t="shared" si="17"/>
        <v>0</v>
      </c>
      <c r="M44" s="147">
        <f t="shared" si="6"/>
        <v>0.12310853128782703</v>
      </c>
      <c r="N44" s="147">
        <f t="shared" si="7"/>
        <v>0.1307642151844414</v>
      </c>
      <c r="O44" s="164">
        <f t="shared" si="18"/>
        <v>0.13903580191202752</v>
      </c>
      <c r="P44" s="147">
        <f t="shared" si="8"/>
        <v>0</v>
      </c>
      <c r="Q44" s="147">
        <f t="shared" si="9"/>
        <v>0</v>
      </c>
      <c r="R44" s="147">
        <f t="shared" si="10"/>
        <v>0</v>
      </c>
      <c r="S44" s="156">
        <f t="shared" si="19"/>
        <v>0</v>
      </c>
      <c r="T44" s="156">
        <f t="shared" si="11"/>
        <v>0</v>
      </c>
      <c r="U44" s="165">
        <f t="shared" si="23"/>
        <v>0</v>
      </c>
      <c r="W44" s="154">
        <f t="shared" si="13"/>
        <v>0.94020532745988006</v>
      </c>
    </row>
    <row r="45" spans="1:23" x14ac:dyDescent="0.25">
      <c r="A45" s="163"/>
      <c r="B45" s="163"/>
      <c r="C45" s="438"/>
      <c r="D45" s="147" t="s">
        <v>213</v>
      </c>
      <c r="E45" s="166">
        <f t="shared" si="20"/>
        <v>0</v>
      </c>
      <c r="F45" s="167">
        <f t="shared" si="21"/>
        <v>0</v>
      </c>
      <c r="G45" s="168">
        <f t="shared" si="22"/>
        <v>0</v>
      </c>
      <c r="H45" s="147">
        <f t="shared" si="24"/>
        <v>5.9794672540119928E-2</v>
      </c>
      <c r="I45" s="164">
        <f t="shared" si="24"/>
        <v>0.16459752684908685</v>
      </c>
      <c r="J45" s="164">
        <f t="shared" si="15"/>
        <v>0</v>
      </c>
      <c r="K45" s="147">
        <f t="shared" si="16"/>
        <v>0</v>
      </c>
      <c r="L45" s="147">
        <f t="shared" si="17"/>
        <v>0</v>
      </c>
      <c r="M45" s="147">
        <f t="shared" si="6"/>
        <v>0.11574729697257631</v>
      </c>
      <c r="N45" s="147">
        <f t="shared" si="7"/>
        <v>0.12294521175752195</v>
      </c>
      <c r="O45" s="164">
        <f t="shared" si="18"/>
        <v>0.13072220166534484</v>
      </c>
      <c r="P45" s="147">
        <f t="shared" si="8"/>
        <v>0</v>
      </c>
      <c r="Q45" s="147">
        <f t="shared" si="9"/>
        <v>0</v>
      </c>
      <c r="R45" s="147">
        <f t="shared" si="10"/>
        <v>0</v>
      </c>
      <c r="S45" s="156">
        <f t="shared" si="19"/>
        <v>0</v>
      </c>
      <c r="T45" s="156">
        <f t="shared" si="11"/>
        <v>0</v>
      </c>
      <c r="U45" s="165">
        <f t="shared" si="23"/>
        <v>0</v>
      </c>
      <c r="W45" s="154">
        <f t="shared" si="13"/>
        <v>0.94020532745988006</v>
      </c>
    </row>
    <row r="46" spans="1:23" x14ac:dyDescent="0.25">
      <c r="A46" s="163"/>
      <c r="B46" s="163"/>
      <c r="C46" s="438"/>
      <c r="D46" s="147" t="s">
        <v>214</v>
      </c>
      <c r="E46" s="166">
        <f t="shared" si="20"/>
        <v>0</v>
      </c>
      <c r="F46" s="167">
        <f t="shared" si="21"/>
        <v>0</v>
      </c>
      <c r="G46" s="168">
        <f t="shared" si="22"/>
        <v>0</v>
      </c>
      <c r="H46" s="147">
        <f t="shared" ref="H46:I61" si="25">H45</f>
        <v>5.9794672540119928E-2</v>
      </c>
      <c r="I46" s="164">
        <f t="shared" si="25"/>
        <v>0.16459752684908685</v>
      </c>
      <c r="J46" s="164">
        <f t="shared" si="15"/>
        <v>0</v>
      </c>
      <c r="K46" s="147">
        <f t="shared" si="16"/>
        <v>0</v>
      </c>
      <c r="L46" s="147">
        <f t="shared" si="17"/>
        <v>0</v>
      </c>
      <c r="M46" s="147">
        <f t="shared" si="6"/>
        <v>0.1088262252526971</v>
      </c>
      <c r="N46" s="147">
        <f t="shared" si="7"/>
        <v>0.11559374308010521</v>
      </c>
      <c r="O46" s="164">
        <f t="shared" si="18"/>
        <v>0.12290571042304203</v>
      </c>
      <c r="P46" s="147">
        <f t="shared" si="8"/>
        <v>0</v>
      </c>
      <c r="Q46" s="147">
        <f t="shared" si="9"/>
        <v>0</v>
      </c>
      <c r="R46" s="147">
        <f t="shared" si="10"/>
        <v>0</v>
      </c>
      <c r="S46" s="156">
        <f t="shared" si="19"/>
        <v>0</v>
      </c>
      <c r="T46" s="156">
        <f t="shared" si="11"/>
        <v>0</v>
      </c>
      <c r="U46" s="165">
        <f t="shared" si="23"/>
        <v>0</v>
      </c>
      <c r="W46" s="154">
        <f t="shared" si="13"/>
        <v>0.94020532745988006</v>
      </c>
    </row>
    <row r="47" spans="1:23" x14ac:dyDescent="0.25">
      <c r="A47" s="163"/>
      <c r="B47" s="163"/>
      <c r="C47" s="438"/>
      <c r="D47" s="147" t="s">
        <v>215</v>
      </c>
      <c r="E47" s="166">
        <f t="shared" si="20"/>
        <v>0</v>
      </c>
      <c r="F47" s="167">
        <f t="shared" si="21"/>
        <v>0</v>
      </c>
      <c r="G47" s="168">
        <f t="shared" si="22"/>
        <v>0</v>
      </c>
      <c r="H47" s="147">
        <f t="shared" si="25"/>
        <v>5.9794672540119928E-2</v>
      </c>
      <c r="I47" s="164">
        <f t="shared" si="25"/>
        <v>0.16459752684908685</v>
      </c>
      <c r="J47" s="164">
        <f t="shared" si="15"/>
        <v>0</v>
      </c>
      <c r="K47" s="147">
        <f t="shared" si="16"/>
        <v>0</v>
      </c>
      <c r="L47" s="147">
        <f t="shared" si="17"/>
        <v>0</v>
      </c>
      <c r="M47" s="147">
        <f t="shared" si="6"/>
        <v>0.10231899674993475</v>
      </c>
      <c r="N47" s="147">
        <f t="shared" si="7"/>
        <v>0.10868185306494356</v>
      </c>
      <c r="O47" s="164">
        <f t="shared" si="18"/>
        <v>0.11555660371498543</v>
      </c>
      <c r="P47" s="147">
        <f t="shared" si="8"/>
        <v>0</v>
      </c>
      <c r="Q47" s="147">
        <f t="shared" si="9"/>
        <v>0</v>
      </c>
      <c r="R47" s="147">
        <f t="shared" si="10"/>
        <v>0</v>
      </c>
      <c r="S47" s="156">
        <f t="shared" si="19"/>
        <v>0</v>
      </c>
      <c r="T47" s="156">
        <f t="shared" si="11"/>
        <v>0</v>
      </c>
      <c r="U47" s="165">
        <f t="shared" si="23"/>
        <v>0</v>
      </c>
      <c r="W47" s="154">
        <f t="shared" si="13"/>
        <v>0.94020532745988006</v>
      </c>
    </row>
    <row r="48" spans="1:23" x14ac:dyDescent="0.25">
      <c r="A48" s="163"/>
      <c r="B48" s="163"/>
      <c r="C48" s="438"/>
      <c r="D48" s="147" t="s">
        <v>216</v>
      </c>
      <c r="E48" s="166">
        <f t="shared" si="20"/>
        <v>0</v>
      </c>
      <c r="F48" s="167">
        <f t="shared" si="21"/>
        <v>0</v>
      </c>
      <c r="G48" s="168">
        <f t="shared" si="22"/>
        <v>0</v>
      </c>
      <c r="H48" s="147">
        <f t="shared" si="25"/>
        <v>5.9794672540119928E-2</v>
      </c>
      <c r="I48" s="164">
        <f t="shared" si="25"/>
        <v>0.16459752684908685</v>
      </c>
      <c r="J48" s="164">
        <f t="shared" si="15"/>
        <v>0</v>
      </c>
      <c r="K48" s="147">
        <f t="shared" si="16"/>
        <v>0</v>
      </c>
      <c r="L48" s="147">
        <f t="shared" si="17"/>
        <v>0</v>
      </c>
      <c r="M48" s="147">
        <f t="shared" si="6"/>
        <v>9.62008658446388E-2</v>
      </c>
      <c r="N48" s="147">
        <f t="shared" si="7"/>
        <v>0.10218325724987183</v>
      </c>
      <c r="O48" s="164">
        <f t="shared" si="18"/>
        <v>0.10864693443599946</v>
      </c>
      <c r="P48" s="147">
        <f t="shared" si="8"/>
        <v>0</v>
      </c>
      <c r="Q48" s="147">
        <f t="shared" si="9"/>
        <v>0</v>
      </c>
      <c r="R48" s="147">
        <f t="shared" si="10"/>
        <v>0</v>
      </c>
      <c r="S48" s="156">
        <f t="shared" si="19"/>
        <v>0</v>
      </c>
      <c r="T48" s="156">
        <f t="shared" si="11"/>
        <v>0</v>
      </c>
      <c r="U48" s="165">
        <f t="shared" si="23"/>
        <v>0</v>
      </c>
      <c r="W48" s="154">
        <f t="shared" si="13"/>
        <v>0.94020532745988006</v>
      </c>
    </row>
    <row r="49" spans="1:23" x14ac:dyDescent="0.25">
      <c r="A49" s="163"/>
      <c r="B49" s="163"/>
      <c r="C49" s="438"/>
      <c r="D49" s="147" t="s">
        <v>217</v>
      </c>
      <c r="E49" s="166">
        <f t="shared" si="20"/>
        <v>0</v>
      </c>
      <c r="F49" s="167">
        <f t="shared" si="21"/>
        <v>0</v>
      </c>
      <c r="G49" s="168">
        <f t="shared" si="22"/>
        <v>0</v>
      </c>
      <c r="H49" s="147">
        <f t="shared" si="25"/>
        <v>5.9794672540119928E-2</v>
      </c>
      <c r="I49" s="164">
        <f t="shared" si="25"/>
        <v>0.16459752684908685</v>
      </c>
      <c r="J49" s="164">
        <f t="shared" si="15"/>
        <v>0</v>
      </c>
      <c r="K49" s="147">
        <f t="shared" si="16"/>
        <v>0</v>
      </c>
      <c r="L49" s="147">
        <f t="shared" si="17"/>
        <v>0</v>
      </c>
      <c r="M49" s="147">
        <f t="shared" si="6"/>
        <v>9.0448566573382613E-2</v>
      </c>
      <c r="N49" s="147">
        <f t="shared" si="7"/>
        <v>9.6073242843532913E-2</v>
      </c>
      <c r="O49" s="164">
        <f t="shared" si="18"/>
        <v>0.10215042656891099</v>
      </c>
      <c r="P49" s="147">
        <f t="shared" si="8"/>
        <v>0</v>
      </c>
      <c r="Q49" s="147">
        <f t="shared" si="9"/>
        <v>0</v>
      </c>
      <c r="R49" s="147">
        <f t="shared" si="10"/>
        <v>0</v>
      </c>
      <c r="S49" s="156">
        <f t="shared" si="19"/>
        <v>0</v>
      </c>
      <c r="T49" s="156">
        <f t="shared" si="11"/>
        <v>0</v>
      </c>
      <c r="U49" s="165">
        <f t="shared" si="23"/>
        <v>0</v>
      </c>
      <c r="W49" s="154">
        <f t="shared" si="13"/>
        <v>0.94020532745988006</v>
      </c>
    </row>
    <row r="50" spans="1:23" x14ac:dyDescent="0.25">
      <c r="A50" s="163"/>
      <c r="B50" s="163"/>
      <c r="C50" s="438"/>
      <c r="D50" s="147" t="s">
        <v>218</v>
      </c>
      <c r="E50" s="166">
        <f t="shared" si="20"/>
        <v>0</v>
      </c>
      <c r="F50" s="167">
        <f t="shared" si="21"/>
        <v>0</v>
      </c>
      <c r="G50" s="168">
        <f t="shared" si="22"/>
        <v>0</v>
      </c>
      <c r="H50" s="147">
        <f t="shared" si="25"/>
        <v>5.9794672540119928E-2</v>
      </c>
      <c r="I50" s="164">
        <f t="shared" si="25"/>
        <v>0.16459752684908685</v>
      </c>
      <c r="J50" s="164">
        <f t="shared" si="15"/>
        <v>0</v>
      </c>
      <c r="K50" s="147">
        <f t="shared" si="16"/>
        <v>0</v>
      </c>
      <c r="L50" s="147">
        <f t="shared" si="17"/>
        <v>0</v>
      </c>
      <c r="M50" s="147">
        <f t="shared" si="6"/>
        <v>8.5040224153403968E-2</v>
      </c>
      <c r="N50" s="147">
        <f t="shared" si="7"/>
        <v>9.032857474783644E-2</v>
      </c>
      <c r="O50" s="164">
        <f t="shared" si="18"/>
        <v>9.6042375262389387E-2</v>
      </c>
      <c r="P50" s="147">
        <f t="shared" si="8"/>
        <v>0</v>
      </c>
      <c r="Q50" s="147">
        <f t="shared" si="9"/>
        <v>0</v>
      </c>
      <c r="R50" s="147">
        <f t="shared" si="10"/>
        <v>0</v>
      </c>
      <c r="S50" s="156">
        <f t="shared" si="19"/>
        <v>0</v>
      </c>
      <c r="T50" s="156">
        <f t="shared" si="11"/>
        <v>0</v>
      </c>
      <c r="U50" s="165">
        <f t="shared" si="23"/>
        <v>0</v>
      </c>
      <c r="W50" s="154">
        <f t="shared" si="13"/>
        <v>0.94020532745988006</v>
      </c>
    </row>
    <row r="51" spans="1:23" x14ac:dyDescent="0.25">
      <c r="A51" s="163"/>
      <c r="B51" s="163"/>
      <c r="C51" s="438"/>
      <c r="D51" s="147" t="s">
        <v>219</v>
      </c>
      <c r="E51" s="166">
        <f t="shared" si="20"/>
        <v>0</v>
      </c>
      <c r="F51" s="167">
        <f t="shared" si="21"/>
        <v>0</v>
      </c>
      <c r="G51" s="168">
        <f t="shared" si="22"/>
        <v>0</v>
      </c>
      <c r="H51" s="147">
        <f t="shared" si="25"/>
        <v>5.9794672540119928E-2</v>
      </c>
      <c r="I51" s="164">
        <f t="shared" si="25"/>
        <v>0.16459752684908685</v>
      </c>
      <c r="J51" s="164">
        <f t="shared" si="15"/>
        <v>0</v>
      </c>
      <c r="K51" s="147">
        <f t="shared" si="16"/>
        <v>0</v>
      </c>
      <c r="L51" s="147">
        <f t="shared" si="17"/>
        <v>0</v>
      </c>
      <c r="M51" s="147">
        <f t="shared" si="6"/>
        <v>7.9955271797412783E-2</v>
      </c>
      <c r="N51" s="147">
        <f t="shared" si="7"/>
        <v>8.4927407199773819E-2</v>
      </c>
      <c r="O51" s="164">
        <f t="shared" si="18"/>
        <v>9.0299552883599504E-2</v>
      </c>
      <c r="P51" s="147">
        <f t="shared" si="8"/>
        <v>0</v>
      </c>
      <c r="Q51" s="147">
        <f t="shared" si="9"/>
        <v>0</v>
      </c>
      <c r="R51" s="147">
        <f t="shared" si="10"/>
        <v>0</v>
      </c>
      <c r="S51" s="156">
        <f t="shared" si="19"/>
        <v>0</v>
      </c>
      <c r="T51" s="156">
        <f t="shared" si="11"/>
        <v>0</v>
      </c>
      <c r="U51" s="165">
        <f t="shared" si="23"/>
        <v>0</v>
      </c>
      <c r="W51" s="154">
        <f t="shared" si="13"/>
        <v>0.94020532745988006</v>
      </c>
    </row>
    <row r="52" spans="1:23" x14ac:dyDescent="0.25">
      <c r="A52" s="163"/>
      <c r="B52" s="163"/>
      <c r="C52" s="438"/>
      <c r="D52" s="147" t="s">
        <v>220</v>
      </c>
      <c r="E52" s="166">
        <f t="shared" si="20"/>
        <v>0</v>
      </c>
      <c r="F52" s="167">
        <f t="shared" si="21"/>
        <v>0</v>
      </c>
      <c r="G52" s="168">
        <f t="shared" si="22"/>
        <v>0</v>
      </c>
      <c r="H52" s="147">
        <f t="shared" si="25"/>
        <v>5.9794672540119928E-2</v>
      </c>
      <c r="I52" s="164">
        <f t="shared" si="25"/>
        <v>0.16459752684908685</v>
      </c>
      <c r="J52" s="164">
        <f t="shared" si="15"/>
        <v>0</v>
      </c>
      <c r="K52" s="147">
        <f t="shared" si="16"/>
        <v>0</v>
      </c>
      <c r="L52" s="147">
        <f t="shared" si="17"/>
        <v>0</v>
      </c>
      <c r="M52" s="147">
        <f t="shared" si="6"/>
        <v>7.5174372502430198E-2</v>
      </c>
      <c r="N52" s="147">
        <f t="shared" si="7"/>
        <v>7.9849200696581912E-2</v>
      </c>
      <c r="O52" s="164">
        <f t="shared" si="18"/>
        <v>8.4900120688405425E-2</v>
      </c>
      <c r="P52" s="147">
        <f t="shared" si="8"/>
        <v>0</v>
      </c>
      <c r="Q52" s="147">
        <f t="shared" si="9"/>
        <v>0</v>
      </c>
      <c r="R52" s="147">
        <f t="shared" si="10"/>
        <v>0</v>
      </c>
      <c r="S52" s="156">
        <f t="shared" si="19"/>
        <v>0</v>
      </c>
      <c r="T52" s="156">
        <f t="shared" si="11"/>
        <v>0</v>
      </c>
      <c r="U52" s="165">
        <f t="shared" si="23"/>
        <v>0</v>
      </c>
      <c r="W52" s="154">
        <f t="shared" si="13"/>
        <v>0.94020532745988006</v>
      </c>
    </row>
    <row r="53" spans="1:23" x14ac:dyDescent="0.25">
      <c r="A53" s="163"/>
      <c r="B53" s="163"/>
      <c r="C53" s="438"/>
      <c r="D53" s="147" t="s">
        <v>221</v>
      </c>
      <c r="E53" s="166">
        <f t="shared" si="20"/>
        <v>0</v>
      </c>
      <c r="F53" s="167">
        <f t="shared" si="21"/>
        <v>0</v>
      </c>
      <c r="G53" s="168">
        <f t="shared" si="22"/>
        <v>0</v>
      </c>
      <c r="H53" s="147">
        <f t="shared" si="25"/>
        <v>5.9794672540119928E-2</v>
      </c>
      <c r="I53" s="164">
        <f t="shared" si="25"/>
        <v>0.16459752684908685</v>
      </c>
      <c r="J53" s="164">
        <f t="shared" si="15"/>
        <v>0</v>
      </c>
      <c r="K53" s="147">
        <f t="shared" si="16"/>
        <v>0</v>
      </c>
      <c r="L53" s="147">
        <f t="shared" si="17"/>
        <v>0</v>
      </c>
      <c r="M53" s="147">
        <f t="shared" si="6"/>
        <v>7.0679345515238384E-2</v>
      </c>
      <c r="N53" s="147">
        <f t="shared" si="7"/>
        <v>7.5074643888339482E-2</v>
      </c>
      <c r="O53" s="164">
        <f t="shared" si="18"/>
        <v>7.9823545773225563E-2</v>
      </c>
      <c r="P53" s="147">
        <f t="shared" si="8"/>
        <v>0</v>
      </c>
      <c r="Q53" s="147">
        <f t="shared" si="9"/>
        <v>0</v>
      </c>
      <c r="R53" s="147">
        <f t="shared" si="10"/>
        <v>0</v>
      </c>
      <c r="S53" s="156">
        <f t="shared" si="19"/>
        <v>0</v>
      </c>
      <c r="T53" s="156">
        <f t="shared" si="11"/>
        <v>0</v>
      </c>
      <c r="U53" s="165">
        <f t="shared" si="23"/>
        <v>0</v>
      </c>
      <c r="W53" s="154">
        <f t="shared" si="13"/>
        <v>0.94020532745988006</v>
      </c>
    </row>
    <row r="54" spans="1:23" x14ac:dyDescent="0.25">
      <c r="A54" s="163"/>
      <c r="B54" s="163"/>
      <c r="C54" s="438"/>
      <c r="D54" s="147" t="s">
        <v>222</v>
      </c>
      <c r="E54" s="166">
        <f t="shared" si="20"/>
        <v>0</v>
      </c>
      <c r="F54" s="167">
        <f t="shared" si="21"/>
        <v>0</v>
      </c>
      <c r="G54" s="168">
        <f t="shared" si="22"/>
        <v>0</v>
      </c>
      <c r="H54" s="147">
        <f t="shared" si="25"/>
        <v>5.9794672540119928E-2</v>
      </c>
      <c r="I54" s="164">
        <f t="shared" si="25"/>
        <v>0.16459752684908685</v>
      </c>
      <c r="J54" s="164">
        <f t="shared" si="15"/>
        <v>0</v>
      </c>
      <c r="K54" s="147">
        <f t="shared" si="16"/>
        <v>0</v>
      </c>
      <c r="L54" s="147">
        <f t="shared" si="17"/>
        <v>0</v>
      </c>
      <c r="M54" s="147">
        <f t="shared" si="6"/>
        <v>6.6453097194804717E-2</v>
      </c>
      <c r="N54" s="147">
        <f t="shared" si="7"/>
        <v>7.0585580140970106E-2</v>
      </c>
      <c r="O54" s="164">
        <f t="shared" si="18"/>
        <v>7.5050522992724258E-2</v>
      </c>
      <c r="P54" s="147">
        <f t="shared" si="8"/>
        <v>0</v>
      </c>
      <c r="Q54" s="147">
        <f t="shared" si="9"/>
        <v>0</v>
      </c>
      <c r="R54" s="147">
        <f t="shared" si="10"/>
        <v>0</v>
      </c>
      <c r="S54" s="156">
        <f t="shared" si="19"/>
        <v>0</v>
      </c>
      <c r="T54" s="156">
        <f t="shared" si="11"/>
        <v>0</v>
      </c>
      <c r="U54" s="165">
        <f t="shared" si="23"/>
        <v>0</v>
      </c>
      <c r="W54" s="154">
        <f t="shared" si="13"/>
        <v>0.94020532745988006</v>
      </c>
    </row>
    <row r="55" spans="1:23" x14ac:dyDescent="0.25">
      <c r="A55" s="163"/>
      <c r="B55" s="163"/>
      <c r="C55" s="438"/>
      <c r="D55" s="147" t="s">
        <v>223</v>
      </c>
      <c r="E55" s="166">
        <f t="shared" si="20"/>
        <v>0</v>
      </c>
      <c r="F55" s="167">
        <f t="shared" si="21"/>
        <v>0</v>
      </c>
      <c r="G55" s="168">
        <f t="shared" si="22"/>
        <v>0</v>
      </c>
      <c r="H55" s="147">
        <f t="shared" si="25"/>
        <v>5.9794672540119928E-2</v>
      </c>
      <c r="I55" s="164">
        <f t="shared" si="25"/>
        <v>0.16459752684908685</v>
      </c>
      <c r="J55" s="164">
        <f t="shared" si="15"/>
        <v>0</v>
      </c>
      <c r="K55" s="147">
        <f t="shared" si="16"/>
        <v>0</v>
      </c>
      <c r="L55" s="147">
        <f t="shared" si="17"/>
        <v>0</v>
      </c>
      <c r="M55" s="147">
        <f t="shared" si="6"/>
        <v>6.2479556008764606E-2</v>
      </c>
      <c r="N55" s="147">
        <f t="shared" si="7"/>
        <v>6.636493849038641E-2</v>
      </c>
      <c r="O55" s="164">
        <f t="shared" si="18"/>
        <v>7.0562901546409568E-2</v>
      </c>
      <c r="P55" s="147">
        <f t="shared" si="8"/>
        <v>0</v>
      </c>
      <c r="Q55" s="147">
        <f t="shared" si="9"/>
        <v>0</v>
      </c>
      <c r="R55" s="147">
        <f t="shared" si="10"/>
        <v>0</v>
      </c>
      <c r="S55" s="156">
        <f t="shared" si="19"/>
        <v>0</v>
      </c>
      <c r="T55" s="156">
        <f t="shared" si="11"/>
        <v>0</v>
      </c>
      <c r="U55" s="165">
        <f t="shared" si="23"/>
        <v>0</v>
      </c>
      <c r="W55" s="154">
        <f t="shared" si="13"/>
        <v>0.94020532745988006</v>
      </c>
    </row>
    <row r="56" spans="1:23" x14ac:dyDescent="0.25">
      <c r="A56" s="163"/>
      <c r="B56" s="163"/>
      <c r="C56" s="438"/>
      <c r="D56" s="147" t="s">
        <v>224</v>
      </c>
      <c r="E56" s="166">
        <f t="shared" si="20"/>
        <v>0</v>
      </c>
      <c r="F56" s="167">
        <f t="shared" si="21"/>
        <v>0</v>
      </c>
      <c r="G56" s="168">
        <f t="shared" si="22"/>
        <v>0</v>
      </c>
      <c r="H56" s="147">
        <f t="shared" si="25"/>
        <v>5.9794672540119928E-2</v>
      </c>
      <c r="I56" s="164">
        <f t="shared" si="25"/>
        <v>0.16459752684908685</v>
      </c>
      <c r="J56" s="164">
        <f t="shared" si="15"/>
        <v>0</v>
      </c>
      <c r="K56" s="147">
        <f t="shared" si="16"/>
        <v>0</v>
      </c>
      <c r="L56" s="147">
        <f t="shared" si="17"/>
        <v>0</v>
      </c>
      <c r="M56" s="147">
        <f t="shared" si="6"/>
        <v>5.874361141676844E-2</v>
      </c>
      <c r="N56" s="147">
        <f t="shared" si="7"/>
        <v>6.2396668725208555E-2</v>
      </c>
      <c r="O56" s="164">
        <f t="shared" si="18"/>
        <v>6.6343615954961285E-2</v>
      </c>
      <c r="P56" s="147">
        <f t="shared" si="8"/>
        <v>0</v>
      </c>
      <c r="Q56" s="147">
        <f t="shared" si="9"/>
        <v>0</v>
      </c>
      <c r="R56" s="147">
        <f t="shared" si="10"/>
        <v>0</v>
      </c>
      <c r="S56" s="156">
        <f t="shared" si="19"/>
        <v>0</v>
      </c>
      <c r="T56" s="156">
        <f t="shared" si="11"/>
        <v>0</v>
      </c>
      <c r="U56" s="165">
        <f t="shared" si="23"/>
        <v>0</v>
      </c>
      <c r="W56" s="154">
        <f t="shared" si="13"/>
        <v>0.94020532745988006</v>
      </c>
    </row>
    <row r="57" spans="1:23" x14ac:dyDescent="0.25">
      <c r="A57" s="163"/>
      <c r="B57" s="163"/>
      <c r="C57" s="438"/>
      <c r="D57" s="147" t="s">
        <v>225</v>
      </c>
      <c r="E57" s="166">
        <f t="shared" si="20"/>
        <v>0</v>
      </c>
      <c r="F57" s="167">
        <f t="shared" si="21"/>
        <v>0</v>
      </c>
      <c r="G57" s="168">
        <f t="shared" si="22"/>
        <v>0</v>
      </c>
      <c r="H57" s="147">
        <f t="shared" si="25"/>
        <v>5.9794672540119928E-2</v>
      </c>
      <c r="I57" s="164">
        <f t="shared" si="25"/>
        <v>0.16459752684908685</v>
      </c>
      <c r="J57" s="164">
        <f t="shared" si="15"/>
        <v>0</v>
      </c>
      <c r="K57" s="147">
        <f t="shared" si="16"/>
        <v>0</v>
      </c>
      <c r="L57" s="147">
        <f t="shared" si="17"/>
        <v>0</v>
      </c>
      <c r="M57" s="147">
        <f t="shared" si="6"/>
        <v>5.5231056408278717E-2</v>
      </c>
      <c r="N57" s="147">
        <f t="shared" si="7"/>
        <v>5.8665680351190366E-2</v>
      </c>
      <c r="O57" s="164">
        <f t="shared" si="18"/>
        <v>6.2376621163806899E-2</v>
      </c>
      <c r="P57" s="147">
        <f t="shared" si="8"/>
        <v>0</v>
      </c>
      <c r="Q57" s="147">
        <f t="shared" si="9"/>
        <v>0</v>
      </c>
      <c r="R57" s="147">
        <f t="shared" si="10"/>
        <v>0</v>
      </c>
      <c r="S57" s="156">
        <f t="shared" si="19"/>
        <v>0</v>
      </c>
      <c r="T57" s="156">
        <f t="shared" si="11"/>
        <v>0</v>
      </c>
      <c r="U57" s="165">
        <f t="shared" si="23"/>
        <v>0</v>
      </c>
      <c r="W57" s="154">
        <f t="shared" si="13"/>
        <v>0.94020532745988006</v>
      </c>
    </row>
    <row r="58" spans="1:23" x14ac:dyDescent="0.25">
      <c r="A58" s="163"/>
      <c r="B58" s="163"/>
      <c r="C58" s="438"/>
      <c r="D58" s="147" t="s">
        <v>226</v>
      </c>
      <c r="E58" s="166">
        <f t="shared" si="20"/>
        <v>0</v>
      </c>
      <c r="F58" s="167">
        <f t="shared" si="21"/>
        <v>0</v>
      </c>
      <c r="G58" s="168">
        <f t="shared" si="22"/>
        <v>0</v>
      </c>
      <c r="H58" s="147">
        <f t="shared" si="25"/>
        <v>5.9794672540119928E-2</v>
      </c>
      <c r="I58" s="164">
        <f t="shared" si="25"/>
        <v>0.16459752684908685</v>
      </c>
      <c r="J58" s="164">
        <f t="shared" si="15"/>
        <v>0</v>
      </c>
      <c r="K58" s="147">
        <f t="shared" si="16"/>
        <v>0</v>
      </c>
      <c r="L58" s="147">
        <f t="shared" si="17"/>
        <v>0</v>
      </c>
      <c r="M58" s="147">
        <f t="shared" si="6"/>
        <v>5.1928533476300796E-2</v>
      </c>
      <c r="N58" s="147">
        <f t="shared" si="7"/>
        <v>5.5157785205247591E-2</v>
      </c>
      <c r="O58" s="164">
        <f t="shared" si="18"/>
        <v>5.8646831527157953E-2</v>
      </c>
      <c r="P58" s="147">
        <f t="shared" si="8"/>
        <v>0</v>
      </c>
      <c r="Q58" s="147">
        <f t="shared" si="9"/>
        <v>0</v>
      </c>
      <c r="R58" s="147">
        <f t="shared" si="10"/>
        <v>0</v>
      </c>
      <c r="S58" s="156">
        <f t="shared" si="19"/>
        <v>0</v>
      </c>
      <c r="T58" s="156">
        <f t="shared" si="11"/>
        <v>0</v>
      </c>
      <c r="U58" s="165">
        <f t="shared" si="23"/>
        <v>0</v>
      </c>
      <c r="W58" s="154">
        <f t="shared" si="13"/>
        <v>0.94020532745988006</v>
      </c>
    </row>
    <row r="59" spans="1:23" x14ac:dyDescent="0.25">
      <c r="A59" s="163"/>
      <c r="B59" s="163"/>
      <c r="C59" s="438"/>
      <c r="D59" s="147" t="s">
        <v>227</v>
      </c>
      <c r="E59" s="166">
        <f t="shared" si="20"/>
        <v>0</v>
      </c>
      <c r="F59" s="167">
        <f t="shared" si="21"/>
        <v>0</v>
      </c>
      <c r="G59" s="168">
        <f t="shared" si="22"/>
        <v>0</v>
      </c>
      <c r="H59" s="147">
        <f t="shared" si="25"/>
        <v>5.9794672540119928E-2</v>
      </c>
      <c r="I59" s="164">
        <f t="shared" si="25"/>
        <v>0.16459752684908685</v>
      </c>
      <c r="J59" s="147">
        <f t="shared" si="15"/>
        <v>0</v>
      </c>
      <c r="K59" s="147">
        <f t="shared" si="16"/>
        <v>0</v>
      </c>
      <c r="L59" s="147">
        <f t="shared" si="17"/>
        <v>0</v>
      </c>
      <c r="M59" s="147">
        <f t="shared" si="6"/>
        <v>4.8823483821596736E-2</v>
      </c>
      <c r="N59" s="147">
        <f t="shared" si="7"/>
        <v>5.1859643500861537E-2</v>
      </c>
      <c r="O59" s="164">
        <f t="shared" si="18"/>
        <v>5.5140063440475957E-2</v>
      </c>
      <c r="P59" s="147">
        <f t="shared" si="8"/>
        <v>0</v>
      </c>
      <c r="Q59" s="147">
        <f t="shared" si="9"/>
        <v>0</v>
      </c>
      <c r="R59" s="147">
        <f t="shared" si="10"/>
        <v>0</v>
      </c>
      <c r="S59" s="156">
        <f t="shared" si="19"/>
        <v>0</v>
      </c>
      <c r="T59" s="156">
        <f t="shared" si="11"/>
        <v>0</v>
      </c>
      <c r="U59" s="165">
        <f t="shared" si="23"/>
        <v>0</v>
      </c>
      <c r="W59" s="154">
        <f t="shared" si="13"/>
        <v>0.94020532745988006</v>
      </c>
    </row>
    <row r="60" spans="1:23" x14ac:dyDescent="0.25">
      <c r="A60" s="163"/>
      <c r="B60" s="163"/>
      <c r="C60" s="438"/>
      <c r="D60" s="147" t="s">
        <v>228</v>
      </c>
      <c r="E60" s="166">
        <f t="shared" si="20"/>
        <v>0</v>
      </c>
      <c r="F60" s="167">
        <f t="shared" si="21"/>
        <v>0</v>
      </c>
      <c r="G60" s="168">
        <f t="shared" si="22"/>
        <v>0</v>
      </c>
      <c r="H60" s="147">
        <f t="shared" si="25"/>
        <v>5.9794672540119928E-2</v>
      </c>
      <c r="I60" s="164">
        <f t="shared" si="25"/>
        <v>0.16459752684908685</v>
      </c>
      <c r="J60" s="147">
        <f t="shared" si="15"/>
        <v>0</v>
      </c>
      <c r="K60" s="147">
        <f t="shared" si="16"/>
        <v>0</v>
      </c>
      <c r="L60" s="147">
        <f t="shared" si="17"/>
        <v>0</v>
      </c>
      <c r="M60" s="147">
        <f t="shared" si="6"/>
        <v>4.5904099594216513E-2</v>
      </c>
      <c r="N60" s="147">
        <f t="shared" si="7"/>
        <v>4.8758713099680162E-2</v>
      </c>
      <c r="O60" s="164">
        <f t="shared" si="18"/>
        <v>5.1842981403211259E-2</v>
      </c>
      <c r="P60" s="147">
        <f t="shared" si="8"/>
        <v>0</v>
      </c>
      <c r="Q60" s="147">
        <f t="shared" si="9"/>
        <v>0</v>
      </c>
      <c r="R60" s="147">
        <f t="shared" si="10"/>
        <v>0</v>
      </c>
      <c r="S60" s="156">
        <f t="shared" si="19"/>
        <v>0</v>
      </c>
      <c r="T60" s="156">
        <f t="shared" si="11"/>
        <v>0</v>
      </c>
      <c r="U60" s="165">
        <f t="shared" si="23"/>
        <v>0</v>
      </c>
      <c r="W60" s="154">
        <f t="shared" si="13"/>
        <v>0.94020532745988006</v>
      </c>
    </row>
    <row r="61" spans="1:23" x14ac:dyDescent="0.25">
      <c r="A61" s="163"/>
      <c r="B61" s="163"/>
      <c r="C61" s="426"/>
      <c r="D61" s="157" t="s">
        <v>229</v>
      </c>
      <c r="E61" s="169">
        <f t="shared" si="20"/>
        <v>0</v>
      </c>
      <c r="F61" s="170">
        <f t="shared" si="21"/>
        <v>0</v>
      </c>
      <c r="G61" s="171">
        <f t="shared" si="22"/>
        <v>0</v>
      </c>
      <c r="H61" s="157">
        <f t="shared" si="25"/>
        <v>5.9794672540119928E-2</v>
      </c>
      <c r="I61" s="172">
        <f t="shared" si="25"/>
        <v>0.16459752684908685</v>
      </c>
      <c r="J61" s="157">
        <f t="shared" si="15"/>
        <v>0</v>
      </c>
      <c r="K61" s="157">
        <f t="shared" si="16"/>
        <v>0</v>
      </c>
      <c r="L61" s="157">
        <f t="shared" si="17"/>
        <v>0</v>
      </c>
      <c r="M61" s="157">
        <f t="shared" si="6"/>
        <v>4.3159278990731284E-2</v>
      </c>
      <c r="N61" s="157">
        <f t="shared" si="7"/>
        <v>4.5843201816407129E-2</v>
      </c>
      <c r="O61" s="172">
        <f t="shared" si="18"/>
        <v>4.8743047306702716E-2</v>
      </c>
      <c r="P61" s="157">
        <f t="shared" si="8"/>
        <v>0</v>
      </c>
      <c r="Q61" s="157">
        <f t="shared" si="9"/>
        <v>0</v>
      </c>
      <c r="R61" s="157">
        <f t="shared" si="10"/>
        <v>0</v>
      </c>
      <c r="S61" s="173">
        <f t="shared" si="19"/>
        <v>0</v>
      </c>
      <c r="T61" s="173">
        <f t="shared" si="11"/>
        <v>0</v>
      </c>
      <c r="U61" s="174">
        <f t="shared" si="23"/>
        <v>0</v>
      </c>
      <c r="W61" s="182">
        <f t="shared" si="13"/>
        <v>0.94020532745988006</v>
      </c>
    </row>
    <row r="62" spans="1:23" x14ac:dyDescent="0.25">
      <c r="V62" s="114"/>
    </row>
    <row r="63" spans="1:23" x14ac:dyDescent="0.25">
      <c r="P63" s="138" t="s">
        <v>230</v>
      </c>
      <c r="Q63" s="138" t="s">
        <v>230</v>
      </c>
      <c r="R63" s="138" t="s">
        <v>230</v>
      </c>
      <c r="S63" s="183" t="s">
        <v>231</v>
      </c>
      <c r="T63" s="122" t="s">
        <v>231</v>
      </c>
      <c r="U63" s="122" t="s">
        <v>231</v>
      </c>
    </row>
    <row r="64" spans="1:23" x14ac:dyDescent="0.25">
      <c r="O64" s="184" t="s">
        <v>11</v>
      </c>
      <c r="P64" s="185">
        <f>S64/$E$9</f>
        <v>7.3113745806776514E-2</v>
      </c>
      <c r="Q64" s="186"/>
      <c r="R64" s="186"/>
      <c r="S64" s="187">
        <f>SUM(S11:S59)</f>
        <v>7.3113745806776516</v>
      </c>
      <c r="T64" s="114"/>
      <c r="U64" s="114"/>
      <c r="V64" s="145"/>
    </row>
    <row r="65" spans="15:21" x14ac:dyDescent="0.25">
      <c r="O65" s="184" t="s">
        <v>12</v>
      </c>
      <c r="P65" s="185"/>
      <c r="Q65" s="185">
        <f>T65/$E$9</f>
        <v>6.9200569033449358E-2</v>
      </c>
      <c r="R65" s="186"/>
      <c r="S65" s="145"/>
      <c r="T65" s="187">
        <f>SUM(T12:T59)</f>
        <v>6.9200569033449364</v>
      </c>
    </row>
    <row r="66" spans="15:21" x14ac:dyDescent="0.25">
      <c r="O66" s="188" t="s">
        <v>13</v>
      </c>
      <c r="P66" s="185"/>
      <c r="Q66" s="186"/>
      <c r="R66" s="185">
        <f>U66/$E$9</f>
        <v>6.511684599943808E-2</v>
      </c>
      <c r="S66" s="145"/>
      <c r="T66" s="145"/>
      <c r="U66" s="187">
        <f>SUM(U13:U59)</f>
        <v>6.5116845999438082</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66"/>
  <sheetViews>
    <sheetView zoomScale="70" zoomScaleNormal="70" workbookViewId="0"/>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3" width="9.7109375" style="114" customWidth="1"/>
    <col min="24" max="254" width="8.85546875" style="114"/>
    <col min="255" max="256" width="10.85546875" style="114" customWidth="1"/>
    <col min="257" max="257" width="21" style="114" customWidth="1"/>
    <col min="258" max="258" width="8.85546875" style="114"/>
    <col min="259" max="259" width="10.42578125" style="114" customWidth="1"/>
    <col min="260" max="260" width="12" style="114" bestFit="1" customWidth="1"/>
    <col min="261" max="261" width="10.42578125" style="114" customWidth="1"/>
    <col min="262" max="262" width="11.140625" style="114" bestFit="1" customWidth="1"/>
    <col min="263" max="263" width="12.5703125" style="114" bestFit="1" customWidth="1"/>
    <col min="264" max="266" width="14.140625" style="114" bestFit="1" customWidth="1"/>
    <col min="267" max="272" width="10.5703125" style="114" customWidth="1"/>
    <col min="273" max="276" width="9.5703125" style="114" customWidth="1"/>
    <col min="277" max="279" width="9.7109375" style="114" customWidth="1"/>
    <col min="280" max="510" width="8.85546875" style="114"/>
    <col min="511" max="512" width="10.85546875" style="114" customWidth="1"/>
    <col min="513" max="513" width="21" style="114" customWidth="1"/>
    <col min="514" max="514" width="8.85546875" style="114"/>
    <col min="515" max="515" width="10.42578125" style="114" customWidth="1"/>
    <col min="516" max="516" width="12" style="114" bestFit="1" customWidth="1"/>
    <col min="517" max="517" width="10.42578125" style="114" customWidth="1"/>
    <col min="518" max="518" width="11.140625" style="114" bestFit="1" customWidth="1"/>
    <col min="519" max="519" width="12.5703125" style="114" bestFit="1" customWidth="1"/>
    <col min="520" max="522" width="14.140625" style="114" bestFit="1" customWidth="1"/>
    <col min="523" max="528" width="10.5703125" style="114" customWidth="1"/>
    <col min="529" max="532" width="9.5703125" style="114" customWidth="1"/>
    <col min="533" max="535" width="9.7109375" style="114" customWidth="1"/>
    <col min="536" max="766" width="8.85546875" style="114"/>
    <col min="767" max="768" width="10.85546875" style="114" customWidth="1"/>
    <col min="769" max="769" width="21" style="114" customWidth="1"/>
    <col min="770" max="770" width="8.85546875" style="114"/>
    <col min="771" max="771" width="10.42578125" style="114" customWidth="1"/>
    <col min="772" max="772" width="12" style="114" bestFit="1" customWidth="1"/>
    <col min="773" max="773" width="10.42578125" style="114" customWidth="1"/>
    <col min="774" max="774" width="11.140625" style="114" bestFit="1" customWidth="1"/>
    <col min="775" max="775" width="12.5703125" style="114" bestFit="1" customWidth="1"/>
    <col min="776" max="778" width="14.140625" style="114" bestFit="1" customWidth="1"/>
    <col min="779" max="784" width="10.5703125" style="114" customWidth="1"/>
    <col min="785" max="788" width="9.5703125" style="114" customWidth="1"/>
    <col min="789" max="791" width="9.7109375" style="114" customWidth="1"/>
    <col min="792" max="1022" width="8.85546875" style="114"/>
    <col min="1023" max="1024" width="10.85546875" style="114" customWidth="1"/>
    <col min="1025" max="1025" width="21" style="114" customWidth="1"/>
    <col min="1026" max="1026" width="8.85546875" style="114"/>
    <col min="1027" max="1027" width="10.42578125" style="114" customWidth="1"/>
    <col min="1028" max="1028" width="12" style="114" bestFit="1" customWidth="1"/>
    <col min="1029" max="1029" width="10.42578125" style="114" customWidth="1"/>
    <col min="1030" max="1030" width="11.140625" style="114" bestFit="1" customWidth="1"/>
    <col min="1031" max="1031" width="12.5703125" style="114" bestFit="1" customWidth="1"/>
    <col min="1032" max="1034" width="14.140625" style="114" bestFit="1" customWidth="1"/>
    <col min="1035" max="1040" width="10.5703125" style="114" customWidth="1"/>
    <col min="1041" max="1044" width="9.5703125" style="114" customWidth="1"/>
    <col min="1045" max="1047" width="9.7109375" style="114" customWidth="1"/>
    <col min="1048" max="1278" width="8.85546875" style="114"/>
    <col min="1279" max="1280" width="10.85546875" style="114" customWidth="1"/>
    <col min="1281" max="1281" width="21" style="114" customWidth="1"/>
    <col min="1282" max="1282" width="8.85546875" style="114"/>
    <col min="1283" max="1283" width="10.42578125" style="114" customWidth="1"/>
    <col min="1284" max="1284" width="12" style="114" bestFit="1" customWidth="1"/>
    <col min="1285" max="1285" width="10.42578125" style="114" customWidth="1"/>
    <col min="1286" max="1286" width="11.140625" style="114" bestFit="1" customWidth="1"/>
    <col min="1287" max="1287" width="12.5703125" style="114" bestFit="1" customWidth="1"/>
    <col min="1288" max="1290" width="14.140625" style="114" bestFit="1" customWidth="1"/>
    <col min="1291" max="1296" width="10.5703125" style="114" customWidth="1"/>
    <col min="1297" max="1300" width="9.5703125" style="114" customWidth="1"/>
    <col min="1301" max="1303" width="9.7109375" style="114" customWidth="1"/>
    <col min="1304" max="1534" width="8.85546875" style="114"/>
    <col min="1535" max="1536" width="10.85546875" style="114" customWidth="1"/>
    <col min="1537" max="1537" width="21" style="114" customWidth="1"/>
    <col min="1538" max="1538" width="8.85546875" style="114"/>
    <col min="1539" max="1539" width="10.42578125" style="114" customWidth="1"/>
    <col min="1540" max="1540" width="12" style="114" bestFit="1" customWidth="1"/>
    <col min="1541" max="1541" width="10.42578125" style="114" customWidth="1"/>
    <col min="1542" max="1542" width="11.140625" style="114" bestFit="1" customWidth="1"/>
    <col min="1543" max="1543" width="12.5703125" style="114" bestFit="1" customWidth="1"/>
    <col min="1544" max="1546" width="14.140625" style="114" bestFit="1" customWidth="1"/>
    <col min="1547" max="1552" width="10.5703125" style="114" customWidth="1"/>
    <col min="1553" max="1556" width="9.5703125" style="114" customWidth="1"/>
    <col min="1557" max="1559" width="9.7109375" style="114" customWidth="1"/>
    <col min="1560" max="1790" width="8.85546875" style="114"/>
    <col min="1791" max="1792" width="10.85546875" style="114" customWidth="1"/>
    <col min="1793" max="1793" width="21" style="114" customWidth="1"/>
    <col min="1794" max="1794" width="8.85546875" style="114"/>
    <col min="1795" max="1795" width="10.42578125" style="114" customWidth="1"/>
    <col min="1796" max="1796" width="12" style="114" bestFit="1" customWidth="1"/>
    <col min="1797" max="1797" width="10.42578125" style="114" customWidth="1"/>
    <col min="1798" max="1798" width="11.140625" style="114" bestFit="1" customWidth="1"/>
    <col min="1799" max="1799" width="12.5703125" style="114" bestFit="1" customWidth="1"/>
    <col min="1800" max="1802" width="14.140625" style="114" bestFit="1" customWidth="1"/>
    <col min="1803" max="1808" width="10.5703125" style="114" customWidth="1"/>
    <col min="1809" max="1812" width="9.5703125" style="114" customWidth="1"/>
    <col min="1813" max="1815" width="9.7109375" style="114" customWidth="1"/>
    <col min="1816" max="2046" width="8.85546875" style="114"/>
    <col min="2047" max="2048" width="10.85546875" style="114" customWidth="1"/>
    <col min="2049" max="2049" width="21" style="114" customWidth="1"/>
    <col min="2050" max="2050" width="8.85546875" style="114"/>
    <col min="2051" max="2051" width="10.42578125" style="114" customWidth="1"/>
    <col min="2052" max="2052" width="12" style="114" bestFit="1" customWidth="1"/>
    <col min="2053" max="2053" width="10.42578125" style="114" customWidth="1"/>
    <col min="2054" max="2054" width="11.140625" style="114" bestFit="1" customWidth="1"/>
    <col min="2055" max="2055" width="12.5703125" style="114" bestFit="1" customWidth="1"/>
    <col min="2056" max="2058" width="14.140625" style="114" bestFit="1" customWidth="1"/>
    <col min="2059" max="2064" width="10.5703125" style="114" customWidth="1"/>
    <col min="2065" max="2068" width="9.5703125" style="114" customWidth="1"/>
    <col min="2069" max="2071" width="9.7109375" style="114" customWidth="1"/>
    <col min="2072" max="2302" width="8.85546875" style="114"/>
    <col min="2303" max="2304" width="10.85546875" style="114" customWidth="1"/>
    <col min="2305" max="2305" width="21" style="114" customWidth="1"/>
    <col min="2306" max="2306" width="8.85546875" style="114"/>
    <col min="2307" max="2307" width="10.42578125" style="114" customWidth="1"/>
    <col min="2308" max="2308" width="12" style="114" bestFit="1" customWidth="1"/>
    <col min="2309" max="2309" width="10.42578125" style="114" customWidth="1"/>
    <col min="2310" max="2310" width="11.140625" style="114" bestFit="1" customWidth="1"/>
    <col min="2311" max="2311" width="12.5703125" style="114" bestFit="1" customWidth="1"/>
    <col min="2312" max="2314" width="14.140625" style="114" bestFit="1" customWidth="1"/>
    <col min="2315" max="2320" width="10.5703125" style="114" customWidth="1"/>
    <col min="2321" max="2324" width="9.5703125" style="114" customWidth="1"/>
    <col min="2325" max="2327" width="9.7109375" style="114" customWidth="1"/>
    <col min="2328" max="2558" width="8.85546875" style="114"/>
    <col min="2559" max="2560" width="10.85546875" style="114" customWidth="1"/>
    <col min="2561" max="2561" width="21" style="114" customWidth="1"/>
    <col min="2562" max="2562" width="8.85546875" style="114"/>
    <col min="2563" max="2563" width="10.42578125" style="114" customWidth="1"/>
    <col min="2564" max="2564" width="12" style="114" bestFit="1" customWidth="1"/>
    <col min="2565" max="2565" width="10.42578125" style="114" customWidth="1"/>
    <col min="2566" max="2566" width="11.140625" style="114" bestFit="1" customWidth="1"/>
    <col min="2567" max="2567" width="12.5703125" style="114" bestFit="1" customWidth="1"/>
    <col min="2568" max="2570" width="14.140625" style="114" bestFit="1" customWidth="1"/>
    <col min="2571" max="2576" width="10.5703125" style="114" customWidth="1"/>
    <col min="2577" max="2580" width="9.5703125" style="114" customWidth="1"/>
    <col min="2581" max="2583" width="9.7109375" style="114" customWidth="1"/>
    <col min="2584" max="2814" width="8.85546875" style="114"/>
    <col min="2815" max="2816" width="10.85546875" style="114" customWidth="1"/>
    <col min="2817" max="2817" width="21" style="114" customWidth="1"/>
    <col min="2818" max="2818" width="8.85546875" style="114"/>
    <col min="2819" max="2819" width="10.42578125" style="114" customWidth="1"/>
    <col min="2820" max="2820" width="12" style="114" bestFit="1" customWidth="1"/>
    <col min="2821" max="2821" width="10.42578125" style="114" customWidth="1"/>
    <col min="2822" max="2822" width="11.140625" style="114" bestFit="1" customWidth="1"/>
    <col min="2823" max="2823" width="12.5703125" style="114" bestFit="1" customWidth="1"/>
    <col min="2824" max="2826" width="14.140625" style="114" bestFit="1" customWidth="1"/>
    <col min="2827" max="2832" width="10.5703125" style="114" customWidth="1"/>
    <col min="2833" max="2836" width="9.5703125" style="114" customWidth="1"/>
    <col min="2837" max="2839" width="9.7109375" style="114" customWidth="1"/>
    <col min="2840" max="3070" width="8.85546875" style="114"/>
    <col min="3071" max="3072" width="10.85546875" style="114" customWidth="1"/>
    <col min="3073" max="3073" width="21" style="114" customWidth="1"/>
    <col min="3074" max="3074" width="8.85546875" style="114"/>
    <col min="3075" max="3075" width="10.42578125" style="114" customWidth="1"/>
    <col min="3076" max="3076" width="12" style="114" bestFit="1" customWidth="1"/>
    <col min="3077" max="3077" width="10.42578125" style="114" customWidth="1"/>
    <col min="3078" max="3078" width="11.140625" style="114" bestFit="1" customWidth="1"/>
    <col min="3079" max="3079" width="12.5703125" style="114" bestFit="1" customWidth="1"/>
    <col min="3080" max="3082" width="14.140625" style="114" bestFit="1" customWidth="1"/>
    <col min="3083" max="3088" width="10.5703125" style="114" customWidth="1"/>
    <col min="3089" max="3092" width="9.5703125" style="114" customWidth="1"/>
    <col min="3093" max="3095" width="9.7109375" style="114" customWidth="1"/>
    <col min="3096" max="3326" width="8.85546875" style="114"/>
    <col min="3327" max="3328" width="10.85546875" style="114" customWidth="1"/>
    <col min="3329" max="3329" width="21" style="114" customWidth="1"/>
    <col min="3330" max="3330" width="8.85546875" style="114"/>
    <col min="3331" max="3331" width="10.42578125" style="114" customWidth="1"/>
    <col min="3332" max="3332" width="12" style="114" bestFit="1" customWidth="1"/>
    <col min="3333" max="3333" width="10.42578125" style="114" customWidth="1"/>
    <col min="3334" max="3334" width="11.140625" style="114" bestFit="1" customWidth="1"/>
    <col min="3335" max="3335" width="12.5703125" style="114" bestFit="1" customWidth="1"/>
    <col min="3336" max="3338" width="14.140625" style="114" bestFit="1" customWidth="1"/>
    <col min="3339" max="3344" width="10.5703125" style="114" customWidth="1"/>
    <col min="3345" max="3348" width="9.5703125" style="114" customWidth="1"/>
    <col min="3349" max="3351" width="9.7109375" style="114" customWidth="1"/>
    <col min="3352" max="3582" width="8.85546875" style="114"/>
    <col min="3583" max="3584" width="10.85546875" style="114" customWidth="1"/>
    <col min="3585" max="3585" width="21" style="114" customWidth="1"/>
    <col min="3586" max="3586" width="8.85546875" style="114"/>
    <col min="3587" max="3587" width="10.42578125" style="114" customWidth="1"/>
    <col min="3588" max="3588" width="12" style="114" bestFit="1" customWidth="1"/>
    <col min="3589" max="3589" width="10.42578125" style="114" customWidth="1"/>
    <col min="3590" max="3590" width="11.140625" style="114" bestFit="1" customWidth="1"/>
    <col min="3591" max="3591" width="12.5703125" style="114" bestFit="1" customWidth="1"/>
    <col min="3592" max="3594" width="14.140625" style="114" bestFit="1" customWidth="1"/>
    <col min="3595" max="3600" width="10.5703125" style="114" customWidth="1"/>
    <col min="3601" max="3604" width="9.5703125" style="114" customWidth="1"/>
    <col min="3605" max="3607" width="9.7109375" style="114" customWidth="1"/>
    <col min="3608" max="3838" width="8.85546875" style="114"/>
    <col min="3839" max="3840" width="10.85546875" style="114" customWidth="1"/>
    <col min="3841" max="3841" width="21" style="114" customWidth="1"/>
    <col min="3842" max="3842" width="8.85546875" style="114"/>
    <col min="3843" max="3843" width="10.42578125" style="114" customWidth="1"/>
    <col min="3844" max="3844" width="12" style="114" bestFit="1" customWidth="1"/>
    <col min="3845" max="3845" width="10.42578125" style="114" customWidth="1"/>
    <col min="3846" max="3846" width="11.140625" style="114" bestFit="1" customWidth="1"/>
    <col min="3847" max="3847" width="12.5703125" style="114" bestFit="1" customWidth="1"/>
    <col min="3848" max="3850" width="14.140625" style="114" bestFit="1" customWidth="1"/>
    <col min="3851" max="3856" width="10.5703125" style="114" customWidth="1"/>
    <col min="3857" max="3860" width="9.5703125" style="114" customWidth="1"/>
    <col min="3861" max="3863" width="9.7109375" style="114" customWidth="1"/>
    <col min="3864" max="4094" width="8.85546875" style="114"/>
    <col min="4095" max="4096" width="10.85546875" style="114" customWidth="1"/>
    <col min="4097" max="4097" width="21" style="114" customWidth="1"/>
    <col min="4098" max="4098" width="8.85546875" style="114"/>
    <col min="4099" max="4099" width="10.42578125" style="114" customWidth="1"/>
    <col min="4100" max="4100" width="12" style="114" bestFit="1" customWidth="1"/>
    <col min="4101" max="4101" width="10.42578125" style="114" customWidth="1"/>
    <col min="4102" max="4102" width="11.140625" style="114" bestFit="1" customWidth="1"/>
    <col min="4103" max="4103" width="12.5703125" style="114" bestFit="1" customWidth="1"/>
    <col min="4104" max="4106" width="14.140625" style="114" bestFit="1" customWidth="1"/>
    <col min="4107" max="4112" width="10.5703125" style="114" customWidth="1"/>
    <col min="4113" max="4116" width="9.5703125" style="114" customWidth="1"/>
    <col min="4117" max="4119" width="9.7109375" style="114" customWidth="1"/>
    <col min="4120" max="4350" width="8.85546875" style="114"/>
    <col min="4351" max="4352" width="10.85546875" style="114" customWidth="1"/>
    <col min="4353" max="4353" width="21" style="114" customWidth="1"/>
    <col min="4354" max="4354" width="8.85546875" style="114"/>
    <col min="4355" max="4355" width="10.42578125" style="114" customWidth="1"/>
    <col min="4356" max="4356" width="12" style="114" bestFit="1" customWidth="1"/>
    <col min="4357" max="4357" width="10.42578125" style="114" customWidth="1"/>
    <col min="4358" max="4358" width="11.140625" style="114" bestFit="1" customWidth="1"/>
    <col min="4359" max="4359" width="12.5703125" style="114" bestFit="1" customWidth="1"/>
    <col min="4360" max="4362" width="14.140625" style="114" bestFit="1" customWidth="1"/>
    <col min="4363" max="4368" width="10.5703125" style="114" customWidth="1"/>
    <col min="4369" max="4372" width="9.5703125" style="114" customWidth="1"/>
    <col min="4373" max="4375" width="9.7109375" style="114" customWidth="1"/>
    <col min="4376" max="4606" width="8.85546875" style="114"/>
    <col min="4607" max="4608" width="10.85546875" style="114" customWidth="1"/>
    <col min="4609" max="4609" width="21" style="114" customWidth="1"/>
    <col min="4610" max="4610" width="8.85546875" style="114"/>
    <col min="4611" max="4611" width="10.42578125" style="114" customWidth="1"/>
    <col min="4612" max="4612" width="12" style="114" bestFit="1" customWidth="1"/>
    <col min="4613" max="4613" width="10.42578125" style="114" customWidth="1"/>
    <col min="4614" max="4614" width="11.140625" style="114" bestFit="1" customWidth="1"/>
    <col min="4615" max="4615" width="12.5703125" style="114" bestFit="1" customWidth="1"/>
    <col min="4616" max="4618" width="14.140625" style="114" bestFit="1" customWidth="1"/>
    <col min="4619" max="4624" width="10.5703125" style="114" customWidth="1"/>
    <col min="4625" max="4628" width="9.5703125" style="114" customWidth="1"/>
    <col min="4629" max="4631" width="9.7109375" style="114" customWidth="1"/>
    <col min="4632" max="4862" width="8.85546875" style="114"/>
    <col min="4863" max="4864" width="10.85546875" style="114" customWidth="1"/>
    <col min="4865" max="4865" width="21" style="114" customWidth="1"/>
    <col min="4866" max="4866" width="8.85546875" style="114"/>
    <col min="4867" max="4867" width="10.42578125" style="114" customWidth="1"/>
    <col min="4868" max="4868" width="12" style="114" bestFit="1" customWidth="1"/>
    <col min="4869" max="4869" width="10.42578125" style="114" customWidth="1"/>
    <col min="4870" max="4870" width="11.140625" style="114" bestFit="1" customWidth="1"/>
    <col min="4871" max="4871" width="12.5703125" style="114" bestFit="1" customWidth="1"/>
    <col min="4872" max="4874" width="14.140625" style="114" bestFit="1" customWidth="1"/>
    <col min="4875" max="4880" width="10.5703125" style="114" customWidth="1"/>
    <col min="4881" max="4884" width="9.5703125" style="114" customWidth="1"/>
    <col min="4885" max="4887" width="9.7109375" style="114" customWidth="1"/>
    <col min="4888" max="5118" width="8.85546875" style="114"/>
    <col min="5119" max="5120" width="10.85546875" style="114" customWidth="1"/>
    <col min="5121" max="5121" width="21" style="114" customWidth="1"/>
    <col min="5122" max="5122" width="8.85546875" style="114"/>
    <col min="5123" max="5123" width="10.42578125" style="114" customWidth="1"/>
    <col min="5124" max="5124" width="12" style="114" bestFit="1" customWidth="1"/>
    <col min="5125" max="5125" width="10.42578125" style="114" customWidth="1"/>
    <col min="5126" max="5126" width="11.140625" style="114" bestFit="1" customWidth="1"/>
    <col min="5127" max="5127" width="12.5703125" style="114" bestFit="1" customWidth="1"/>
    <col min="5128" max="5130" width="14.140625" style="114" bestFit="1" customWidth="1"/>
    <col min="5131" max="5136" width="10.5703125" style="114" customWidth="1"/>
    <col min="5137" max="5140" width="9.5703125" style="114" customWidth="1"/>
    <col min="5141" max="5143" width="9.7109375" style="114" customWidth="1"/>
    <col min="5144" max="5374" width="8.85546875" style="114"/>
    <col min="5375" max="5376" width="10.85546875" style="114" customWidth="1"/>
    <col min="5377" max="5377" width="21" style="114" customWidth="1"/>
    <col min="5378" max="5378" width="8.85546875" style="114"/>
    <col min="5379" max="5379" width="10.42578125" style="114" customWidth="1"/>
    <col min="5380" max="5380" width="12" style="114" bestFit="1" customWidth="1"/>
    <col min="5381" max="5381" width="10.42578125" style="114" customWidth="1"/>
    <col min="5382" max="5382" width="11.140625" style="114" bestFit="1" customWidth="1"/>
    <col min="5383" max="5383" width="12.5703125" style="114" bestFit="1" customWidth="1"/>
    <col min="5384" max="5386" width="14.140625" style="114" bestFit="1" customWidth="1"/>
    <col min="5387" max="5392" width="10.5703125" style="114" customWidth="1"/>
    <col min="5393" max="5396" width="9.5703125" style="114" customWidth="1"/>
    <col min="5397" max="5399" width="9.7109375" style="114" customWidth="1"/>
    <col min="5400" max="5630" width="8.85546875" style="114"/>
    <col min="5631" max="5632" width="10.85546875" style="114" customWidth="1"/>
    <col min="5633" max="5633" width="21" style="114" customWidth="1"/>
    <col min="5634" max="5634" width="8.85546875" style="114"/>
    <col min="5635" max="5635" width="10.42578125" style="114" customWidth="1"/>
    <col min="5636" max="5636" width="12" style="114" bestFit="1" customWidth="1"/>
    <col min="5637" max="5637" width="10.42578125" style="114" customWidth="1"/>
    <col min="5638" max="5638" width="11.140625" style="114" bestFit="1" customWidth="1"/>
    <col min="5639" max="5639" width="12.5703125" style="114" bestFit="1" customWidth="1"/>
    <col min="5640" max="5642" width="14.140625" style="114" bestFit="1" customWidth="1"/>
    <col min="5643" max="5648" width="10.5703125" style="114" customWidth="1"/>
    <col min="5649" max="5652" width="9.5703125" style="114" customWidth="1"/>
    <col min="5653" max="5655" width="9.7109375" style="114" customWidth="1"/>
    <col min="5656" max="5886" width="8.85546875" style="114"/>
    <col min="5887" max="5888" width="10.85546875" style="114" customWidth="1"/>
    <col min="5889" max="5889" width="21" style="114" customWidth="1"/>
    <col min="5890" max="5890" width="8.85546875" style="114"/>
    <col min="5891" max="5891" width="10.42578125" style="114" customWidth="1"/>
    <col min="5892" max="5892" width="12" style="114" bestFit="1" customWidth="1"/>
    <col min="5893" max="5893" width="10.42578125" style="114" customWidth="1"/>
    <col min="5894" max="5894" width="11.140625" style="114" bestFit="1" customWidth="1"/>
    <col min="5895" max="5895" width="12.5703125" style="114" bestFit="1" customWidth="1"/>
    <col min="5896" max="5898" width="14.140625" style="114" bestFit="1" customWidth="1"/>
    <col min="5899" max="5904" width="10.5703125" style="114" customWidth="1"/>
    <col min="5905" max="5908" width="9.5703125" style="114" customWidth="1"/>
    <col min="5909" max="5911" width="9.7109375" style="114" customWidth="1"/>
    <col min="5912" max="6142" width="8.85546875" style="114"/>
    <col min="6143" max="6144" width="10.85546875" style="114" customWidth="1"/>
    <col min="6145" max="6145" width="21" style="114" customWidth="1"/>
    <col min="6146" max="6146" width="8.85546875" style="114"/>
    <col min="6147" max="6147" width="10.42578125" style="114" customWidth="1"/>
    <col min="6148" max="6148" width="12" style="114" bestFit="1" customWidth="1"/>
    <col min="6149" max="6149" width="10.42578125" style="114" customWidth="1"/>
    <col min="6150" max="6150" width="11.140625" style="114" bestFit="1" customWidth="1"/>
    <col min="6151" max="6151" width="12.5703125" style="114" bestFit="1" customWidth="1"/>
    <col min="6152" max="6154" width="14.140625" style="114" bestFit="1" customWidth="1"/>
    <col min="6155" max="6160" width="10.5703125" style="114" customWidth="1"/>
    <col min="6161" max="6164" width="9.5703125" style="114" customWidth="1"/>
    <col min="6165" max="6167" width="9.7109375" style="114" customWidth="1"/>
    <col min="6168" max="6398" width="8.85546875" style="114"/>
    <col min="6399" max="6400" width="10.85546875" style="114" customWidth="1"/>
    <col min="6401" max="6401" width="21" style="114" customWidth="1"/>
    <col min="6402" max="6402" width="8.85546875" style="114"/>
    <col min="6403" max="6403" width="10.42578125" style="114" customWidth="1"/>
    <col min="6404" max="6404" width="12" style="114" bestFit="1" customWidth="1"/>
    <col min="6405" max="6405" width="10.42578125" style="114" customWidth="1"/>
    <col min="6406" max="6406" width="11.140625" style="114" bestFit="1" customWidth="1"/>
    <col min="6407" max="6407" width="12.5703125" style="114" bestFit="1" customWidth="1"/>
    <col min="6408" max="6410" width="14.140625" style="114" bestFit="1" customWidth="1"/>
    <col min="6411" max="6416" width="10.5703125" style="114" customWidth="1"/>
    <col min="6417" max="6420" width="9.5703125" style="114" customWidth="1"/>
    <col min="6421" max="6423" width="9.7109375" style="114" customWidth="1"/>
    <col min="6424" max="6654" width="8.85546875" style="114"/>
    <col min="6655" max="6656" width="10.85546875" style="114" customWidth="1"/>
    <col min="6657" max="6657" width="21" style="114" customWidth="1"/>
    <col min="6658" max="6658" width="8.85546875" style="114"/>
    <col min="6659" max="6659" width="10.42578125" style="114" customWidth="1"/>
    <col min="6660" max="6660" width="12" style="114" bestFit="1" customWidth="1"/>
    <col min="6661" max="6661" width="10.42578125" style="114" customWidth="1"/>
    <col min="6662" max="6662" width="11.140625" style="114" bestFit="1" customWidth="1"/>
    <col min="6663" max="6663" width="12.5703125" style="114" bestFit="1" customWidth="1"/>
    <col min="6664" max="6666" width="14.140625" style="114" bestFit="1" customWidth="1"/>
    <col min="6667" max="6672" width="10.5703125" style="114" customWidth="1"/>
    <col min="6673" max="6676" width="9.5703125" style="114" customWidth="1"/>
    <col min="6677" max="6679" width="9.7109375" style="114" customWidth="1"/>
    <col min="6680" max="6910" width="8.85546875" style="114"/>
    <col min="6911" max="6912" width="10.85546875" style="114" customWidth="1"/>
    <col min="6913" max="6913" width="21" style="114" customWidth="1"/>
    <col min="6914" max="6914" width="8.85546875" style="114"/>
    <col min="6915" max="6915" width="10.42578125" style="114" customWidth="1"/>
    <col min="6916" max="6916" width="12" style="114" bestFit="1" customWidth="1"/>
    <col min="6917" max="6917" width="10.42578125" style="114" customWidth="1"/>
    <col min="6918" max="6918" width="11.140625" style="114" bestFit="1" customWidth="1"/>
    <col min="6919" max="6919" width="12.5703125" style="114" bestFit="1" customWidth="1"/>
    <col min="6920" max="6922" width="14.140625" style="114" bestFit="1" customWidth="1"/>
    <col min="6923" max="6928" width="10.5703125" style="114" customWidth="1"/>
    <col min="6929" max="6932" width="9.5703125" style="114" customWidth="1"/>
    <col min="6933" max="6935" width="9.7109375" style="114" customWidth="1"/>
    <col min="6936" max="7166" width="8.85546875" style="114"/>
    <col min="7167" max="7168" width="10.85546875" style="114" customWidth="1"/>
    <col min="7169" max="7169" width="21" style="114" customWidth="1"/>
    <col min="7170" max="7170" width="8.85546875" style="114"/>
    <col min="7171" max="7171" width="10.42578125" style="114" customWidth="1"/>
    <col min="7172" max="7172" width="12" style="114" bestFit="1" customWidth="1"/>
    <col min="7173" max="7173" width="10.42578125" style="114" customWidth="1"/>
    <col min="7174" max="7174" width="11.140625" style="114" bestFit="1" customWidth="1"/>
    <col min="7175" max="7175" width="12.5703125" style="114" bestFit="1" customWidth="1"/>
    <col min="7176" max="7178" width="14.140625" style="114" bestFit="1" customWidth="1"/>
    <col min="7179" max="7184" width="10.5703125" style="114" customWidth="1"/>
    <col min="7185" max="7188" width="9.5703125" style="114" customWidth="1"/>
    <col min="7189" max="7191" width="9.7109375" style="114" customWidth="1"/>
    <col min="7192" max="7422" width="8.85546875" style="114"/>
    <col min="7423" max="7424" width="10.85546875" style="114" customWidth="1"/>
    <col min="7425" max="7425" width="21" style="114" customWidth="1"/>
    <col min="7426" max="7426" width="8.85546875" style="114"/>
    <col min="7427" max="7427" width="10.42578125" style="114" customWidth="1"/>
    <col min="7428" max="7428" width="12" style="114" bestFit="1" customWidth="1"/>
    <col min="7429" max="7429" width="10.42578125" style="114" customWidth="1"/>
    <col min="7430" max="7430" width="11.140625" style="114" bestFit="1" customWidth="1"/>
    <col min="7431" max="7431" width="12.5703125" style="114" bestFit="1" customWidth="1"/>
    <col min="7432" max="7434" width="14.140625" style="114" bestFit="1" customWidth="1"/>
    <col min="7435" max="7440" width="10.5703125" style="114" customWidth="1"/>
    <col min="7441" max="7444" width="9.5703125" style="114" customWidth="1"/>
    <col min="7445" max="7447" width="9.7109375" style="114" customWidth="1"/>
    <col min="7448" max="7678" width="8.85546875" style="114"/>
    <col min="7679" max="7680" width="10.85546875" style="114" customWidth="1"/>
    <col min="7681" max="7681" width="21" style="114" customWidth="1"/>
    <col min="7682" max="7682" width="8.85546875" style="114"/>
    <col min="7683" max="7683" width="10.42578125" style="114" customWidth="1"/>
    <col min="7684" max="7684" width="12" style="114" bestFit="1" customWidth="1"/>
    <col min="7685" max="7685" width="10.42578125" style="114" customWidth="1"/>
    <col min="7686" max="7686" width="11.140625" style="114" bestFit="1" customWidth="1"/>
    <col min="7687" max="7687" width="12.5703125" style="114" bestFit="1" customWidth="1"/>
    <col min="7688" max="7690" width="14.140625" style="114" bestFit="1" customWidth="1"/>
    <col min="7691" max="7696" width="10.5703125" style="114" customWidth="1"/>
    <col min="7697" max="7700" width="9.5703125" style="114" customWidth="1"/>
    <col min="7701" max="7703" width="9.7109375" style="114" customWidth="1"/>
    <col min="7704" max="7934" width="8.85546875" style="114"/>
    <col min="7935" max="7936" width="10.85546875" style="114" customWidth="1"/>
    <col min="7937" max="7937" width="21" style="114" customWidth="1"/>
    <col min="7938" max="7938" width="8.85546875" style="114"/>
    <col min="7939" max="7939" width="10.42578125" style="114" customWidth="1"/>
    <col min="7940" max="7940" width="12" style="114" bestFit="1" customWidth="1"/>
    <col min="7941" max="7941" width="10.42578125" style="114" customWidth="1"/>
    <col min="7942" max="7942" width="11.140625" style="114" bestFit="1" customWidth="1"/>
    <col min="7943" max="7943" width="12.5703125" style="114" bestFit="1" customWidth="1"/>
    <col min="7944" max="7946" width="14.140625" style="114" bestFit="1" customWidth="1"/>
    <col min="7947" max="7952" width="10.5703125" style="114" customWidth="1"/>
    <col min="7953" max="7956" width="9.5703125" style="114" customWidth="1"/>
    <col min="7957" max="7959" width="9.7109375" style="114" customWidth="1"/>
    <col min="7960" max="8190" width="8.85546875" style="114"/>
    <col min="8191" max="8192" width="10.85546875" style="114" customWidth="1"/>
    <col min="8193" max="8193" width="21" style="114" customWidth="1"/>
    <col min="8194" max="8194" width="8.85546875" style="114"/>
    <col min="8195" max="8195" width="10.42578125" style="114" customWidth="1"/>
    <col min="8196" max="8196" width="12" style="114" bestFit="1" customWidth="1"/>
    <col min="8197" max="8197" width="10.42578125" style="114" customWidth="1"/>
    <col min="8198" max="8198" width="11.140625" style="114" bestFit="1" customWidth="1"/>
    <col min="8199" max="8199" width="12.5703125" style="114" bestFit="1" customWidth="1"/>
    <col min="8200" max="8202" width="14.140625" style="114" bestFit="1" customWidth="1"/>
    <col min="8203" max="8208" width="10.5703125" style="114" customWidth="1"/>
    <col min="8209" max="8212" width="9.5703125" style="114" customWidth="1"/>
    <col min="8213" max="8215" width="9.7109375" style="114" customWidth="1"/>
    <col min="8216" max="8446" width="8.85546875" style="114"/>
    <col min="8447" max="8448" width="10.85546875" style="114" customWidth="1"/>
    <col min="8449" max="8449" width="21" style="114" customWidth="1"/>
    <col min="8450" max="8450" width="8.85546875" style="114"/>
    <col min="8451" max="8451" width="10.42578125" style="114" customWidth="1"/>
    <col min="8452" max="8452" width="12" style="114" bestFit="1" customWidth="1"/>
    <col min="8453" max="8453" width="10.42578125" style="114" customWidth="1"/>
    <col min="8454" max="8454" width="11.140625" style="114" bestFit="1" customWidth="1"/>
    <col min="8455" max="8455" width="12.5703125" style="114" bestFit="1" customWidth="1"/>
    <col min="8456" max="8458" width="14.140625" style="114" bestFit="1" customWidth="1"/>
    <col min="8459" max="8464" width="10.5703125" style="114" customWidth="1"/>
    <col min="8465" max="8468" width="9.5703125" style="114" customWidth="1"/>
    <col min="8469" max="8471" width="9.7109375" style="114" customWidth="1"/>
    <col min="8472" max="8702" width="8.85546875" style="114"/>
    <col min="8703" max="8704" width="10.85546875" style="114" customWidth="1"/>
    <col min="8705" max="8705" width="21" style="114" customWidth="1"/>
    <col min="8706" max="8706" width="8.85546875" style="114"/>
    <col min="8707" max="8707" width="10.42578125" style="114" customWidth="1"/>
    <col min="8708" max="8708" width="12" style="114" bestFit="1" customWidth="1"/>
    <col min="8709" max="8709" width="10.42578125" style="114" customWidth="1"/>
    <col min="8710" max="8710" width="11.140625" style="114" bestFit="1" customWidth="1"/>
    <col min="8711" max="8711" width="12.5703125" style="114" bestFit="1" customWidth="1"/>
    <col min="8712" max="8714" width="14.140625" style="114" bestFit="1" customWidth="1"/>
    <col min="8715" max="8720" width="10.5703125" style="114" customWidth="1"/>
    <col min="8721" max="8724" width="9.5703125" style="114" customWidth="1"/>
    <col min="8725" max="8727" width="9.7109375" style="114" customWidth="1"/>
    <col min="8728" max="8958" width="8.85546875" style="114"/>
    <col min="8959" max="8960" width="10.85546875" style="114" customWidth="1"/>
    <col min="8961" max="8961" width="21" style="114" customWidth="1"/>
    <col min="8962" max="8962" width="8.85546875" style="114"/>
    <col min="8963" max="8963" width="10.42578125" style="114" customWidth="1"/>
    <col min="8964" max="8964" width="12" style="114" bestFit="1" customWidth="1"/>
    <col min="8965" max="8965" width="10.42578125" style="114" customWidth="1"/>
    <col min="8966" max="8966" width="11.140625" style="114" bestFit="1" customWidth="1"/>
    <col min="8967" max="8967" width="12.5703125" style="114" bestFit="1" customWidth="1"/>
    <col min="8968" max="8970" width="14.140625" style="114" bestFit="1" customWidth="1"/>
    <col min="8971" max="8976" width="10.5703125" style="114" customWidth="1"/>
    <col min="8977" max="8980" width="9.5703125" style="114" customWidth="1"/>
    <col min="8981" max="8983" width="9.7109375" style="114" customWidth="1"/>
    <col min="8984" max="9214" width="8.85546875" style="114"/>
    <col min="9215" max="9216" width="10.85546875" style="114" customWidth="1"/>
    <col min="9217" max="9217" width="21" style="114" customWidth="1"/>
    <col min="9218" max="9218" width="8.85546875" style="114"/>
    <col min="9219" max="9219" width="10.42578125" style="114" customWidth="1"/>
    <col min="9220" max="9220" width="12" style="114" bestFit="1" customWidth="1"/>
    <col min="9221" max="9221" width="10.42578125" style="114" customWidth="1"/>
    <col min="9222" max="9222" width="11.140625" style="114" bestFit="1" customWidth="1"/>
    <col min="9223" max="9223" width="12.5703125" style="114" bestFit="1" customWidth="1"/>
    <col min="9224" max="9226" width="14.140625" style="114" bestFit="1" customWidth="1"/>
    <col min="9227" max="9232" width="10.5703125" style="114" customWidth="1"/>
    <col min="9233" max="9236" width="9.5703125" style="114" customWidth="1"/>
    <col min="9237" max="9239" width="9.7109375" style="114" customWidth="1"/>
    <col min="9240" max="9470" width="8.85546875" style="114"/>
    <col min="9471" max="9472" width="10.85546875" style="114" customWidth="1"/>
    <col min="9473" max="9473" width="21" style="114" customWidth="1"/>
    <col min="9474" max="9474" width="8.85546875" style="114"/>
    <col min="9475" max="9475" width="10.42578125" style="114" customWidth="1"/>
    <col min="9476" max="9476" width="12" style="114" bestFit="1" customWidth="1"/>
    <col min="9477" max="9477" width="10.42578125" style="114" customWidth="1"/>
    <col min="9478" max="9478" width="11.140625" style="114" bestFit="1" customWidth="1"/>
    <col min="9479" max="9479" width="12.5703125" style="114" bestFit="1" customWidth="1"/>
    <col min="9480" max="9482" width="14.140625" style="114" bestFit="1" customWidth="1"/>
    <col min="9483" max="9488" width="10.5703125" style="114" customWidth="1"/>
    <col min="9489" max="9492" width="9.5703125" style="114" customWidth="1"/>
    <col min="9493" max="9495" width="9.7109375" style="114" customWidth="1"/>
    <col min="9496" max="9726" width="8.85546875" style="114"/>
    <col min="9727" max="9728" width="10.85546875" style="114" customWidth="1"/>
    <col min="9729" max="9729" width="21" style="114" customWidth="1"/>
    <col min="9730" max="9730" width="8.85546875" style="114"/>
    <col min="9731" max="9731" width="10.42578125" style="114" customWidth="1"/>
    <col min="9732" max="9732" width="12" style="114" bestFit="1" customWidth="1"/>
    <col min="9733" max="9733" width="10.42578125" style="114" customWidth="1"/>
    <col min="9734" max="9734" width="11.140625" style="114" bestFit="1" customWidth="1"/>
    <col min="9735" max="9735" width="12.5703125" style="114" bestFit="1" customWidth="1"/>
    <col min="9736" max="9738" width="14.140625" style="114" bestFit="1" customWidth="1"/>
    <col min="9739" max="9744" width="10.5703125" style="114" customWidth="1"/>
    <col min="9745" max="9748" width="9.5703125" style="114" customWidth="1"/>
    <col min="9749" max="9751" width="9.7109375" style="114" customWidth="1"/>
    <col min="9752" max="9982" width="8.85546875" style="114"/>
    <col min="9983" max="9984" width="10.85546875" style="114" customWidth="1"/>
    <col min="9985" max="9985" width="21" style="114" customWidth="1"/>
    <col min="9986" max="9986" width="8.85546875" style="114"/>
    <col min="9987" max="9987" width="10.42578125" style="114" customWidth="1"/>
    <col min="9988" max="9988" width="12" style="114" bestFit="1" customWidth="1"/>
    <col min="9989" max="9989" width="10.42578125" style="114" customWidth="1"/>
    <col min="9990" max="9990" width="11.140625" style="114" bestFit="1" customWidth="1"/>
    <col min="9991" max="9991" width="12.5703125" style="114" bestFit="1" customWidth="1"/>
    <col min="9992" max="9994" width="14.140625" style="114" bestFit="1" customWidth="1"/>
    <col min="9995" max="10000" width="10.5703125" style="114" customWidth="1"/>
    <col min="10001" max="10004" width="9.5703125" style="114" customWidth="1"/>
    <col min="10005" max="10007" width="9.7109375" style="114" customWidth="1"/>
    <col min="10008" max="10238" width="8.85546875" style="114"/>
    <col min="10239" max="10240" width="10.85546875" style="114" customWidth="1"/>
    <col min="10241" max="10241" width="21" style="114" customWidth="1"/>
    <col min="10242" max="10242" width="8.85546875" style="114"/>
    <col min="10243" max="10243" width="10.42578125" style="114" customWidth="1"/>
    <col min="10244" max="10244" width="12" style="114" bestFit="1" customWidth="1"/>
    <col min="10245" max="10245" width="10.42578125" style="114" customWidth="1"/>
    <col min="10246" max="10246" width="11.140625" style="114" bestFit="1" customWidth="1"/>
    <col min="10247" max="10247" width="12.5703125" style="114" bestFit="1" customWidth="1"/>
    <col min="10248" max="10250" width="14.140625" style="114" bestFit="1" customWidth="1"/>
    <col min="10251" max="10256" width="10.5703125" style="114" customWidth="1"/>
    <col min="10257" max="10260" width="9.5703125" style="114" customWidth="1"/>
    <col min="10261" max="10263" width="9.7109375" style="114" customWidth="1"/>
    <col min="10264" max="10494" width="8.85546875" style="114"/>
    <col min="10495" max="10496" width="10.85546875" style="114" customWidth="1"/>
    <col min="10497" max="10497" width="21" style="114" customWidth="1"/>
    <col min="10498" max="10498" width="8.85546875" style="114"/>
    <col min="10499" max="10499" width="10.42578125" style="114" customWidth="1"/>
    <col min="10500" max="10500" width="12" style="114" bestFit="1" customWidth="1"/>
    <col min="10501" max="10501" width="10.42578125" style="114" customWidth="1"/>
    <col min="10502" max="10502" width="11.140625" style="114" bestFit="1" customWidth="1"/>
    <col min="10503" max="10503" width="12.5703125" style="114" bestFit="1" customWidth="1"/>
    <col min="10504" max="10506" width="14.140625" style="114" bestFit="1" customWidth="1"/>
    <col min="10507" max="10512" width="10.5703125" style="114" customWidth="1"/>
    <col min="10513" max="10516" width="9.5703125" style="114" customWidth="1"/>
    <col min="10517" max="10519" width="9.7109375" style="114" customWidth="1"/>
    <col min="10520" max="10750" width="8.85546875" style="114"/>
    <col min="10751" max="10752" width="10.85546875" style="114" customWidth="1"/>
    <col min="10753" max="10753" width="21" style="114" customWidth="1"/>
    <col min="10754" max="10754" width="8.85546875" style="114"/>
    <col min="10755" max="10755" width="10.42578125" style="114" customWidth="1"/>
    <col min="10756" max="10756" width="12" style="114" bestFit="1" customWidth="1"/>
    <col min="10757" max="10757" width="10.42578125" style="114" customWidth="1"/>
    <col min="10758" max="10758" width="11.140625" style="114" bestFit="1" customWidth="1"/>
    <col min="10759" max="10759" width="12.5703125" style="114" bestFit="1" customWidth="1"/>
    <col min="10760" max="10762" width="14.140625" style="114" bestFit="1" customWidth="1"/>
    <col min="10763" max="10768" width="10.5703125" style="114" customWidth="1"/>
    <col min="10769" max="10772" width="9.5703125" style="114" customWidth="1"/>
    <col min="10773" max="10775" width="9.7109375" style="114" customWidth="1"/>
    <col min="10776" max="11006" width="8.85546875" style="114"/>
    <col min="11007" max="11008" width="10.85546875" style="114" customWidth="1"/>
    <col min="11009" max="11009" width="21" style="114" customWidth="1"/>
    <col min="11010" max="11010" width="8.85546875" style="114"/>
    <col min="11011" max="11011" width="10.42578125" style="114" customWidth="1"/>
    <col min="11012" max="11012" width="12" style="114" bestFit="1" customWidth="1"/>
    <col min="11013" max="11013" width="10.42578125" style="114" customWidth="1"/>
    <col min="11014" max="11014" width="11.140625" style="114" bestFit="1" customWidth="1"/>
    <col min="11015" max="11015" width="12.5703125" style="114" bestFit="1" customWidth="1"/>
    <col min="11016" max="11018" width="14.140625" style="114" bestFit="1" customWidth="1"/>
    <col min="11019" max="11024" width="10.5703125" style="114" customWidth="1"/>
    <col min="11025" max="11028" width="9.5703125" style="114" customWidth="1"/>
    <col min="11029" max="11031" width="9.7109375" style="114" customWidth="1"/>
    <col min="11032" max="11262" width="8.85546875" style="114"/>
    <col min="11263" max="11264" width="10.85546875" style="114" customWidth="1"/>
    <col min="11265" max="11265" width="21" style="114" customWidth="1"/>
    <col min="11266" max="11266" width="8.85546875" style="114"/>
    <col min="11267" max="11267" width="10.42578125" style="114" customWidth="1"/>
    <col min="11268" max="11268" width="12" style="114" bestFit="1" customWidth="1"/>
    <col min="11269" max="11269" width="10.42578125" style="114" customWidth="1"/>
    <col min="11270" max="11270" width="11.140625" style="114" bestFit="1" customWidth="1"/>
    <col min="11271" max="11271" width="12.5703125" style="114" bestFit="1" customWidth="1"/>
    <col min="11272" max="11274" width="14.140625" style="114" bestFit="1" customWidth="1"/>
    <col min="11275" max="11280" width="10.5703125" style="114" customWidth="1"/>
    <col min="11281" max="11284" width="9.5703125" style="114" customWidth="1"/>
    <col min="11285" max="11287" width="9.7109375" style="114" customWidth="1"/>
    <col min="11288" max="11518" width="8.85546875" style="114"/>
    <col min="11519" max="11520" width="10.85546875" style="114" customWidth="1"/>
    <col min="11521" max="11521" width="21" style="114" customWidth="1"/>
    <col min="11522" max="11522" width="8.85546875" style="114"/>
    <col min="11523" max="11523" width="10.42578125" style="114" customWidth="1"/>
    <col min="11524" max="11524" width="12" style="114" bestFit="1" customWidth="1"/>
    <col min="11525" max="11525" width="10.42578125" style="114" customWidth="1"/>
    <col min="11526" max="11526" width="11.140625" style="114" bestFit="1" customWidth="1"/>
    <col min="11527" max="11527" width="12.5703125" style="114" bestFit="1" customWidth="1"/>
    <col min="11528" max="11530" width="14.140625" style="114" bestFit="1" customWidth="1"/>
    <col min="11531" max="11536" width="10.5703125" style="114" customWidth="1"/>
    <col min="11537" max="11540" width="9.5703125" style="114" customWidth="1"/>
    <col min="11541" max="11543" width="9.7109375" style="114" customWidth="1"/>
    <col min="11544" max="11774" width="8.85546875" style="114"/>
    <col min="11775" max="11776" width="10.85546875" style="114" customWidth="1"/>
    <col min="11777" max="11777" width="21" style="114" customWidth="1"/>
    <col min="11778" max="11778" width="8.85546875" style="114"/>
    <col min="11779" max="11779" width="10.42578125" style="114" customWidth="1"/>
    <col min="11780" max="11780" width="12" style="114" bestFit="1" customWidth="1"/>
    <col min="11781" max="11781" width="10.42578125" style="114" customWidth="1"/>
    <col min="11782" max="11782" width="11.140625" style="114" bestFit="1" customWidth="1"/>
    <col min="11783" max="11783" width="12.5703125" style="114" bestFit="1" customWidth="1"/>
    <col min="11784" max="11786" width="14.140625" style="114" bestFit="1" customWidth="1"/>
    <col min="11787" max="11792" width="10.5703125" style="114" customWidth="1"/>
    <col min="11793" max="11796" width="9.5703125" style="114" customWidth="1"/>
    <col min="11797" max="11799" width="9.7109375" style="114" customWidth="1"/>
    <col min="11800" max="12030" width="8.85546875" style="114"/>
    <col min="12031" max="12032" width="10.85546875" style="114" customWidth="1"/>
    <col min="12033" max="12033" width="21" style="114" customWidth="1"/>
    <col min="12034" max="12034" width="8.85546875" style="114"/>
    <col min="12035" max="12035" width="10.42578125" style="114" customWidth="1"/>
    <col min="12036" max="12036" width="12" style="114" bestFit="1" customWidth="1"/>
    <col min="12037" max="12037" width="10.42578125" style="114" customWidth="1"/>
    <col min="12038" max="12038" width="11.140625" style="114" bestFit="1" customWidth="1"/>
    <col min="12039" max="12039" width="12.5703125" style="114" bestFit="1" customWidth="1"/>
    <col min="12040" max="12042" width="14.140625" style="114" bestFit="1" customWidth="1"/>
    <col min="12043" max="12048" width="10.5703125" style="114" customWidth="1"/>
    <col min="12049" max="12052" width="9.5703125" style="114" customWidth="1"/>
    <col min="12053" max="12055" width="9.7109375" style="114" customWidth="1"/>
    <col min="12056" max="12286" width="8.85546875" style="114"/>
    <col min="12287" max="12288" width="10.85546875" style="114" customWidth="1"/>
    <col min="12289" max="12289" width="21" style="114" customWidth="1"/>
    <col min="12290" max="12290" width="8.85546875" style="114"/>
    <col min="12291" max="12291" width="10.42578125" style="114" customWidth="1"/>
    <col min="12292" max="12292" width="12" style="114" bestFit="1" customWidth="1"/>
    <col min="12293" max="12293" width="10.42578125" style="114" customWidth="1"/>
    <col min="12294" max="12294" width="11.140625" style="114" bestFit="1" customWidth="1"/>
    <col min="12295" max="12295" width="12.5703125" style="114" bestFit="1" customWidth="1"/>
    <col min="12296" max="12298" width="14.140625" style="114" bestFit="1" customWidth="1"/>
    <col min="12299" max="12304" width="10.5703125" style="114" customWidth="1"/>
    <col min="12305" max="12308" width="9.5703125" style="114" customWidth="1"/>
    <col min="12309" max="12311" width="9.7109375" style="114" customWidth="1"/>
    <col min="12312" max="12542" width="8.85546875" style="114"/>
    <col min="12543" max="12544" width="10.85546875" style="114" customWidth="1"/>
    <col min="12545" max="12545" width="21" style="114" customWidth="1"/>
    <col min="12546" max="12546" width="8.85546875" style="114"/>
    <col min="12547" max="12547" width="10.42578125" style="114" customWidth="1"/>
    <col min="12548" max="12548" width="12" style="114" bestFit="1" customWidth="1"/>
    <col min="12549" max="12549" width="10.42578125" style="114" customWidth="1"/>
    <col min="12550" max="12550" width="11.140625" style="114" bestFit="1" customWidth="1"/>
    <col min="12551" max="12551" width="12.5703125" style="114" bestFit="1" customWidth="1"/>
    <col min="12552" max="12554" width="14.140625" style="114" bestFit="1" customWidth="1"/>
    <col min="12555" max="12560" width="10.5703125" style="114" customWidth="1"/>
    <col min="12561" max="12564" width="9.5703125" style="114" customWidth="1"/>
    <col min="12565" max="12567" width="9.7109375" style="114" customWidth="1"/>
    <col min="12568" max="12798" width="8.85546875" style="114"/>
    <col min="12799" max="12800" width="10.85546875" style="114" customWidth="1"/>
    <col min="12801" max="12801" width="21" style="114" customWidth="1"/>
    <col min="12802" max="12802" width="8.85546875" style="114"/>
    <col min="12803" max="12803" width="10.42578125" style="114" customWidth="1"/>
    <col min="12804" max="12804" width="12" style="114" bestFit="1" customWidth="1"/>
    <col min="12805" max="12805" width="10.42578125" style="114" customWidth="1"/>
    <col min="12806" max="12806" width="11.140625" style="114" bestFit="1" customWidth="1"/>
    <col min="12807" max="12807" width="12.5703125" style="114" bestFit="1" customWidth="1"/>
    <col min="12808" max="12810" width="14.140625" style="114" bestFit="1" customWidth="1"/>
    <col min="12811" max="12816" width="10.5703125" style="114" customWidth="1"/>
    <col min="12817" max="12820" width="9.5703125" style="114" customWidth="1"/>
    <col min="12821" max="12823" width="9.7109375" style="114" customWidth="1"/>
    <col min="12824" max="13054" width="8.85546875" style="114"/>
    <col min="13055" max="13056" width="10.85546875" style="114" customWidth="1"/>
    <col min="13057" max="13057" width="21" style="114" customWidth="1"/>
    <col min="13058" max="13058" width="8.85546875" style="114"/>
    <col min="13059" max="13059" width="10.42578125" style="114" customWidth="1"/>
    <col min="13060" max="13060" width="12" style="114" bestFit="1" customWidth="1"/>
    <col min="13061" max="13061" width="10.42578125" style="114" customWidth="1"/>
    <col min="13062" max="13062" width="11.140625" style="114" bestFit="1" customWidth="1"/>
    <col min="13063" max="13063" width="12.5703125" style="114" bestFit="1" customWidth="1"/>
    <col min="13064" max="13066" width="14.140625" style="114" bestFit="1" customWidth="1"/>
    <col min="13067" max="13072" width="10.5703125" style="114" customWidth="1"/>
    <col min="13073" max="13076" width="9.5703125" style="114" customWidth="1"/>
    <col min="13077" max="13079" width="9.7109375" style="114" customWidth="1"/>
    <col min="13080" max="13310" width="8.85546875" style="114"/>
    <col min="13311" max="13312" width="10.85546875" style="114" customWidth="1"/>
    <col min="13313" max="13313" width="21" style="114" customWidth="1"/>
    <col min="13314" max="13314" width="8.85546875" style="114"/>
    <col min="13315" max="13315" width="10.42578125" style="114" customWidth="1"/>
    <col min="13316" max="13316" width="12" style="114" bestFit="1" customWidth="1"/>
    <col min="13317" max="13317" width="10.42578125" style="114" customWidth="1"/>
    <col min="13318" max="13318" width="11.140625" style="114" bestFit="1" customWidth="1"/>
    <col min="13319" max="13319" width="12.5703125" style="114" bestFit="1" customWidth="1"/>
    <col min="13320" max="13322" width="14.140625" style="114" bestFit="1" customWidth="1"/>
    <col min="13323" max="13328" width="10.5703125" style="114" customWidth="1"/>
    <col min="13329" max="13332" width="9.5703125" style="114" customWidth="1"/>
    <col min="13333" max="13335" width="9.7109375" style="114" customWidth="1"/>
    <col min="13336" max="13566" width="8.85546875" style="114"/>
    <col min="13567" max="13568" width="10.85546875" style="114" customWidth="1"/>
    <col min="13569" max="13569" width="21" style="114" customWidth="1"/>
    <col min="13570" max="13570" width="8.85546875" style="114"/>
    <col min="13571" max="13571" width="10.42578125" style="114" customWidth="1"/>
    <col min="13572" max="13572" width="12" style="114" bestFit="1" customWidth="1"/>
    <col min="13573" max="13573" width="10.42578125" style="114" customWidth="1"/>
    <col min="13574" max="13574" width="11.140625" style="114" bestFit="1" customWidth="1"/>
    <col min="13575" max="13575" width="12.5703125" style="114" bestFit="1" customWidth="1"/>
    <col min="13576" max="13578" width="14.140625" style="114" bestFit="1" customWidth="1"/>
    <col min="13579" max="13584" width="10.5703125" style="114" customWidth="1"/>
    <col min="13585" max="13588" width="9.5703125" style="114" customWidth="1"/>
    <col min="13589" max="13591" width="9.7109375" style="114" customWidth="1"/>
    <col min="13592" max="13822" width="8.85546875" style="114"/>
    <col min="13823" max="13824" width="10.85546875" style="114" customWidth="1"/>
    <col min="13825" max="13825" width="21" style="114" customWidth="1"/>
    <col min="13826" max="13826" width="8.85546875" style="114"/>
    <col min="13827" max="13827" width="10.42578125" style="114" customWidth="1"/>
    <col min="13828" max="13828" width="12" style="114" bestFit="1" customWidth="1"/>
    <col min="13829" max="13829" width="10.42578125" style="114" customWidth="1"/>
    <col min="13830" max="13830" width="11.140625" style="114" bestFit="1" customWidth="1"/>
    <col min="13831" max="13831" width="12.5703125" style="114" bestFit="1" customWidth="1"/>
    <col min="13832" max="13834" width="14.140625" style="114" bestFit="1" customWidth="1"/>
    <col min="13835" max="13840" width="10.5703125" style="114" customWidth="1"/>
    <col min="13841" max="13844" width="9.5703125" style="114" customWidth="1"/>
    <col min="13845" max="13847" width="9.7109375" style="114" customWidth="1"/>
    <col min="13848" max="14078" width="8.85546875" style="114"/>
    <col min="14079" max="14080" width="10.85546875" style="114" customWidth="1"/>
    <col min="14081" max="14081" width="21" style="114" customWidth="1"/>
    <col min="14082" max="14082" width="8.85546875" style="114"/>
    <col min="14083" max="14083" width="10.42578125" style="114" customWidth="1"/>
    <col min="14084" max="14084" width="12" style="114" bestFit="1" customWidth="1"/>
    <col min="14085" max="14085" width="10.42578125" style="114" customWidth="1"/>
    <col min="14086" max="14086" width="11.140625" style="114" bestFit="1" customWidth="1"/>
    <col min="14087" max="14087" width="12.5703125" style="114" bestFit="1" customWidth="1"/>
    <col min="14088" max="14090" width="14.140625" style="114" bestFit="1" customWidth="1"/>
    <col min="14091" max="14096" width="10.5703125" style="114" customWidth="1"/>
    <col min="14097" max="14100" width="9.5703125" style="114" customWidth="1"/>
    <col min="14101" max="14103" width="9.7109375" style="114" customWidth="1"/>
    <col min="14104" max="14334" width="8.85546875" style="114"/>
    <col min="14335" max="14336" width="10.85546875" style="114" customWidth="1"/>
    <col min="14337" max="14337" width="21" style="114" customWidth="1"/>
    <col min="14338" max="14338" width="8.85546875" style="114"/>
    <col min="14339" max="14339" width="10.42578125" style="114" customWidth="1"/>
    <col min="14340" max="14340" width="12" style="114" bestFit="1" customWidth="1"/>
    <col min="14341" max="14341" width="10.42578125" style="114" customWidth="1"/>
    <col min="14342" max="14342" width="11.140625" style="114" bestFit="1" customWidth="1"/>
    <col min="14343" max="14343" width="12.5703125" style="114" bestFit="1" customWidth="1"/>
    <col min="14344" max="14346" width="14.140625" style="114" bestFit="1" customWidth="1"/>
    <col min="14347" max="14352" width="10.5703125" style="114" customWidth="1"/>
    <col min="14353" max="14356" width="9.5703125" style="114" customWidth="1"/>
    <col min="14357" max="14359" width="9.7109375" style="114" customWidth="1"/>
    <col min="14360" max="14590" width="8.85546875" style="114"/>
    <col min="14591" max="14592" width="10.85546875" style="114" customWidth="1"/>
    <col min="14593" max="14593" width="21" style="114" customWidth="1"/>
    <col min="14594" max="14594" width="8.85546875" style="114"/>
    <col min="14595" max="14595" width="10.42578125" style="114" customWidth="1"/>
    <col min="14596" max="14596" width="12" style="114" bestFit="1" customWidth="1"/>
    <col min="14597" max="14597" width="10.42578125" style="114" customWidth="1"/>
    <col min="14598" max="14598" width="11.140625" style="114" bestFit="1" customWidth="1"/>
    <col min="14599" max="14599" width="12.5703125" style="114" bestFit="1" customWidth="1"/>
    <col min="14600" max="14602" width="14.140625" style="114" bestFit="1" customWidth="1"/>
    <col min="14603" max="14608" width="10.5703125" style="114" customWidth="1"/>
    <col min="14609" max="14612" width="9.5703125" style="114" customWidth="1"/>
    <col min="14613" max="14615" width="9.7109375" style="114" customWidth="1"/>
    <col min="14616" max="14846" width="8.85546875" style="114"/>
    <col min="14847" max="14848" width="10.85546875" style="114" customWidth="1"/>
    <col min="14849" max="14849" width="21" style="114" customWidth="1"/>
    <col min="14850" max="14850" width="8.85546875" style="114"/>
    <col min="14851" max="14851" width="10.42578125" style="114" customWidth="1"/>
    <col min="14852" max="14852" width="12" style="114" bestFit="1" customWidth="1"/>
    <col min="14853" max="14853" width="10.42578125" style="114" customWidth="1"/>
    <col min="14854" max="14854" width="11.140625" style="114" bestFit="1" customWidth="1"/>
    <col min="14855" max="14855" width="12.5703125" style="114" bestFit="1" customWidth="1"/>
    <col min="14856" max="14858" width="14.140625" style="114" bestFit="1" customWidth="1"/>
    <col min="14859" max="14864" width="10.5703125" style="114" customWidth="1"/>
    <col min="14865" max="14868" width="9.5703125" style="114" customWidth="1"/>
    <col min="14869" max="14871" width="9.7109375" style="114" customWidth="1"/>
    <col min="14872" max="15102" width="8.85546875" style="114"/>
    <col min="15103" max="15104" width="10.85546875" style="114" customWidth="1"/>
    <col min="15105" max="15105" width="21" style="114" customWidth="1"/>
    <col min="15106" max="15106" width="8.85546875" style="114"/>
    <col min="15107" max="15107" width="10.42578125" style="114" customWidth="1"/>
    <col min="15108" max="15108" width="12" style="114" bestFit="1" customWidth="1"/>
    <col min="15109" max="15109" width="10.42578125" style="114" customWidth="1"/>
    <col min="15110" max="15110" width="11.140625" style="114" bestFit="1" customWidth="1"/>
    <col min="15111" max="15111" width="12.5703125" style="114" bestFit="1" customWidth="1"/>
    <col min="15112" max="15114" width="14.140625" style="114" bestFit="1" customWidth="1"/>
    <col min="15115" max="15120" width="10.5703125" style="114" customWidth="1"/>
    <col min="15121" max="15124" width="9.5703125" style="114" customWidth="1"/>
    <col min="15125" max="15127" width="9.7109375" style="114" customWidth="1"/>
    <col min="15128" max="15358" width="8.85546875" style="114"/>
    <col min="15359" max="15360" width="10.85546875" style="114" customWidth="1"/>
    <col min="15361" max="15361" width="21" style="114" customWidth="1"/>
    <col min="15362" max="15362" width="8.85546875" style="114"/>
    <col min="15363" max="15363" width="10.42578125" style="114" customWidth="1"/>
    <col min="15364" max="15364" width="12" style="114" bestFit="1" customWidth="1"/>
    <col min="15365" max="15365" width="10.42578125" style="114" customWidth="1"/>
    <col min="15366" max="15366" width="11.140625" style="114" bestFit="1" customWidth="1"/>
    <col min="15367" max="15367" width="12.5703125" style="114" bestFit="1" customWidth="1"/>
    <col min="15368" max="15370" width="14.140625" style="114" bestFit="1" customWidth="1"/>
    <col min="15371" max="15376" width="10.5703125" style="114" customWidth="1"/>
    <col min="15377" max="15380" width="9.5703125" style="114" customWidth="1"/>
    <col min="15381" max="15383" width="9.7109375" style="114" customWidth="1"/>
    <col min="15384" max="15614" width="8.85546875" style="114"/>
    <col min="15615" max="15616" width="10.85546875" style="114" customWidth="1"/>
    <col min="15617" max="15617" width="21" style="114" customWidth="1"/>
    <col min="15618" max="15618" width="8.85546875" style="114"/>
    <col min="15619" max="15619" width="10.42578125" style="114" customWidth="1"/>
    <col min="15620" max="15620" width="12" style="114" bestFit="1" customWidth="1"/>
    <col min="15621" max="15621" width="10.42578125" style="114" customWidth="1"/>
    <col min="15622" max="15622" width="11.140625" style="114" bestFit="1" customWidth="1"/>
    <col min="15623" max="15623" width="12.5703125" style="114" bestFit="1" customWidth="1"/>
    <col min="15624" max="15626" width="14.140625" style="114" bestFit="1" customWidth="1"/>
    <col min="15627" max="15632" width="10.5703125" style="114" customWidth="1"/>
    <col min="15633" max="15636" width="9.5703125" style="114" customWidth="1"/>
    <col min="15637" max="15639" width="9.7109375" style="114" customWidth="1"/>
    <col min="15640" max="15870" width="8.85546875" style="114"/>
    <col min="15871" max="15872" width="10.85546875" style="114" customWidth="1"/>
    <col min="15873" max="15873" width="21" style="114" customWidth="1"/>
    <col min="15874" max="15874" width="8.85546875" style="114"/>
    <col min="15875" max="15875" width="10.42578125" style="114" customWidth="1"/>
    <col min="15876" max="15876" width="12" style="114" bestFit="1" customWidth="1"/>
    <col min="15877" max="15877" width="10.42578125" style="114" customWidth="1"/>
    <col min="15878" max="15878" width="11.140625" style="114" bestFit="1" customWidth="1"/>
    <col min="15879" max="15879" width="12.5703125" style="114" bestFit="1" customWidth="1"/>
    <col min="15880" max="15882" width="14.140625" style="114" bestFit="1" customWidth="1"/>
    <col min="15883" max="15888" width="10.5703125" style="114" customWidth="1"/>
    <col min="15889" max="15892" width="9.5703125" style="114" customWidth="1"/>
    <col min="15893" max="15895" width="9.7109375" style="114" customWidth="1"/>
    <col min="15896" max="16126" width="8.85546875" style="114"/>
    <col min="16127" max="16128" width="10.85546875" style="114" customWidth="1"/>
    <col min="16129" max="16129" width="21" style="114" customWidth="1"/>
    <col min="16130" max="16130" width="8.85546875" style="114"/>
    <col min="16131" max="16131" width="10.42578125" style="114" customWidth="1"/>
    <col min="16132" max="16132" width="12" style="114" bestFit="1" customWidth="1"/>
    <col min="16133" max="16133" width="10.42578125" style="114" customWidth="1"/>
    <col min="16134" max="16134" width="11.140625" style="114" bestFit="1" customWidth="1"/>
    <col min="16135" max="16135" width="12.5703125" style="114" bestFit="1" customWidth="1"/>
    <col min="16136" max="16138" width="14.140625" style="114" bestFit="1" customWidth="1"/>
    <col min="16139" max="16144" width="10.5703125" style="114" customWidth="1"/>
    <col min="16145" max="16148" width="9.5703125" style="114" customWidth="1"/>
    <col min="16149" max="16151" width="9.7109375" style="114" customWidth="1"/>
    <col min="16152" max="16384" width="8.85546875" style="114"/>
  </cols>
  <sheetData>
    <row r="1" spans="1:25" x14ac:dyDescent="0.25">
      <c r="J1" s="114" t="s">
        <v>246</v>
      </c>
      <c r="K1" s="114" t="s">
        <v>247</v>
      </c>
    </row>
    <row r="2" spans="1:25" x14ac:dyDescent="0.25">
      <c r="B2" s="114" t="s">
        <v>157</v>
      </c>
      <c r="C2" s="115" t="s">
        <v>158</v>
      </c>
      <c r="D2" s="116">
        <f>'CR Path Generator'!$D$79</f>
        <v>30</v>
      </c>
      <c r="F2" s="114" t="s">
        <v>159</v>
      </c>
      <c r="G2" s="117" t="s">
        <v>160</v>
      </c>
      <c r="I2" s="114" t="s">
        <v>11</v>
      </c>
      <c r="J2" s="249">
        <f>'CR Path Generator'!O61</f>
        <v>0.12466192885389298</v>
      </c>
      <c r="K2" s="249">
        <f>'CR Path Generator'!G35</f>
        <v>0.32035892298340057</v>
      </c>
    </row>
    <row r="3" spans="1:25" x14ac:dyDescent="0.25">
      <c r="C3" s="115" t="s">
        <v>161</v>
      </c>
      <c r="D3" s="115"/>
      <c r="I3" s="114" t="s">
        <v>12</v>
      </c>
      <c r="J3" s="249">
        <f>'CR Path Generator'!O67</f>
        <v>0.15278304430927062</v>
      </c>
      <c r="K3" s="249">
        <f>'CR Path Generator'!H35</f>
        <v>0.32035892298340057</v>
      </c>
    </row>
    <row r="4" spans="1:25" x14ac:dyDescent="0.25">
      <c r="C4" s="115" t="s">
        <v>162</v>
      </c>
      <c r="D4" s="115"/>
      <c r="I4" s="114" t="s">
        <v>13</v>
      </c>
      <c r="J4" s="249">
        <f>'CR Path Generator'!O73</f>
        <v>0.16197048631508851</v>
      </c>
      <c r="K4" s="249">
        <f>'CR Path Generator'!I35</f>
        <v>0.32035892298340057</v>
      </c>
    </row>
    <row r="5" spans="1:25" x14ac:dyDescent="0.25">
      <c r="M5" s="119"/>
      <c r="N5" s="120" t="s">
        <v>163</v>
      </c>
      <c r="O5" s="121"/>
      <c r="S5" s="118"/>
    </row>
    <row r="6" spans="1:25"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X6" s="123"/>
      <c r="Y6" s="123"/>
    </row>
    <row r="7" spans="1:25"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5"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5"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5" x14ac:dyDescent="0.25">
      <c r="C10" s="437" t="s">
        <v>178</v>
      </c>
      <c r="D10" s="147" t="s">
        <v>11</v>
      </c>
      <c r="E10" s="148">
        <v>100</v>
      </c>
      <c r="F10" s="148">
        <v>100</v>
      </c>
      <c r="G10" s="148">
        <v>100</v>
      </c>
      <c r="H10" s="149">
        <f>'Processor LT adverse'!J2</f>
        <v>0.12466192885389298</v>
      </c>
      <c r="I10" s="150">
        <f>'Processor LT adverse'!K2</f>
        <v>0.32035892298340057</v>
      </c>
      <c r="J10" s="150">
        <f>I10*E10/100</f>
        <v>0.32035892298340057</v>
      </c>
      <c r="K10" s="150"/>
      <c r="L10" s="150"/>
      <c r="M10" s="151">
        <v>1</v>
      </c>
      <c r="N10" s="152"/>
      <c r="O10" s="152"/>
      <c r="P10" s="152">
        <f>H10*J10*M10</f>
        <v>3.9936561264666465E-2</v>
      </c>
      <c r="Q10" s="152"/>
      <c r="R10" s="152"/>
      <c r="S10" s="153">
        <f>P10*$E10</f>
        <v>3.9936561264666466</v>
      </c>
      <c r="T10" s="144"/>
      <c r="U10" s="144"/>
      <c r="W10" s="154">
        <f t="shared" ref="W10:W12" si="0">1-H10</f>
        <v>0.87533807114610707</v>
      </c>
    </row>
    <row r="11" spans="1:25" x14ac:dyDescent="0.25">
      <c r="C11" s="438"/>
      <c r="D11" s="147" t="s">
        <v>12</v>
      </c>
      <c r="E11" s="148">
        <f>IF($D$2&gt;1,100,0)</f>
        <v>100</v>
      </c>
      <c r="F11" s="148">
        <v>100</v>
      </c>
      <c r="G11" s="148">
        <v>100</v>
      </c>
      <c r="H11" s="149">
        <f>'Processor LT adverse'!J3</f>
        <v>0.15278304430927062</v>
      </c>
      <c r="I11" s="150">
        <f>'Processor LT adverse'!K3</f>
        <v>0.32035892298340057</v>
      </c>
      <c r="J11" s="150">
        <f>I11*E11/100</f>
        <v>0.32035892298340057</v>
      </c>
      <c r="K11" s="150">
        <f>I11*F11/100</f>
        <v>0.32035892298340057</v>
      </c>
      <c r="L11" s="150"/>
      <c r="M11" s="360">
        <f>M10*W10</f>
        <v>0.87533807114610707</v>
      </c>
      <c r="N11" s="151">
        <v>1</v>
      </c>
      <c r="O11" s="155"/>
      <c r="P11" s="152">
        <f t="shared" ref="P11:P12" si="1">H11*J11*M11</f>
        <v>4.2843782115783664E-2</v>
      </c>
      <c r="Q11" s="152">
        <f>N11*K11*H11</f>
        <v>4.89454115250431E-2</v>
      </c>
      <c r="R11" s="152"/>
      <c r="S11" s="156">
        <f>P11*$E11</f>
        <v>4.2843782115783666</v>
      </c>
      <c r="T11" s="153">
        <f t="shared" ref="T11:T12" si="2">Q11*$F11</f>
        <v>4.8945411525043099</v>
      </c>
      <c r="U11" s="144"/>
      <c r="W11" s="154">
        <f t="shared" si="0"/>
        <v>0.84721695569072941</v>
      </c>
    </row>
    <row r="12" spans="1:25" x14ac:dyDescent="0.25">
      <c r="C12" s="426"/>
      <c r="D12" s="157" t="s">
        <v>13</v>
      </c>
      <c r="E12" s="158">
        <f>IF($D$2&gt;2,100,0)</f>
        <v>100</v>
      </c>
      <c r="F12" s="140">
        <f>IF($D$2&gt;1,100,0)</f>
        <v>100</v>
      </c>
      <c r="G12" s="159">
        <v>100</v>
      </c>
      <c r="H12" s="160">
        <f>'Processor LT adverse'!J4</f>
        <v>0.16197048631508851</v>
      </c>
      <c r="I12" s="161">
        <f>'Processor LT adverse'!K4</f>
        <v>0.32035892298340057</v>
      </c>
      <c r="J12" s="161">
        <f>I12*E12/100</f>
        <v>0.32035892298340057</v>
      </c>
      <c r="K12" s="161">
        <f>I12*F12/100</f>
        <v>0.32035892298340057</v>
      </c>
      <c r="L12" s="161">
        <f>I12*G12/100</f>
        <v>0.32035892298340057</v>
      </c>
      <c r="M12" s="142">
        <f t="shared" ref="M12" si="3">M11*W11</f>
        <v>0.74160125583659997</v>
      </c>
      <c r="N12" s="142">
        <f>N11*W11</f>
        <v>0.84721695569072941</v>
      </c>
      <c r="O12" s="162">
        <v>1</v>
      </c>
      <c r="P12" s="142">
        <f t="shared" si="1"/>
        <v>3.8480718076337857E-2</v>
      </c>
      <c r="Q12" s="142">
        <f t="shared" ref="Q12" si="4">N12*K12*H12</f>
        <v>4.3960978443396005E-2</v>
      </c>
      <c r="R12" s="142">
        <f>H12*L12*O12</f>
        <v>5.1888690550999379E-2</v>
      </c>
      <c r="S12" s="156">
        <f>P12*$E12</f>
        <v>3.8480718076337856</v>
      </c>
      <c r="T12" s="156">
        <f t="shared" si="2"/>
        <v>4.3960978443396002</v>
      </c>
      <c r="U12" s="153">
        <f t="shared" ref="U12" si="5">R12*$G12</f>
        <v>5.1888690550999383</v>
      </c>
      <c r="W12" s="154">
        <f t="shared" si="0"/>
        <v>0.83802951368491152</v>
      </c>
    </row>
    <row r="13" spans="1:25" x14ac:dyDescent="0.25">
      <c r="A13" s="163"/>
      <c r="C13" s="439" t="s">
        <v>179</v>
      </c>
      <c r="D13" s="147" t="s">
        <v>180</v>
      </c>
      <c r="E13" s="148">
        <f>IF($D$2&gt;3,100,0)</f>
        <v>100</v>
      </c>
      <c r="F13" s="148">
        <f>IF($D$2&gt;2,100,0)</f>
        <v>100</v>
      </c>
      <c r="G13" s="148">
        <f>IF($D$2&gt;1,100,0)</f>
        <v>100</v>
      </c>
      <c r="H13" s="147">
        <f t="shared" ref="H13:H18" si="6">($H$19-$H$12)/7+H12</f>
        <v>0.147373941490093</v>
      </c>
      <c r="I13" s="147">
        <f t="shared" ref="I13:I18" si="7">($I$19-$I$12)/7+I12</f>
        <v>0.2981072949642129</v>
      </c>
      <c r="J13" s="164">
        <f>I13*E13/100</f>
        <v>0.2981072949642129</v>
      </c>
      <c r="K13" s="164">
        <f>I13*F13/100</f>
        <v>0.2981072949642129</v>
      </c>
      <c r="L13" s="164">
        <f>I13*G13/100</f>
        <v>0.2981072949642129</v>
      </c>
      <c r="M13" s="164">
        <f t="shared" ref="M13:M59" si="8">M12*W12</f>
        <v>0.62148373977686555</v>
      </c>
      <c r="N13" s="164">
        <f>N12*W12</f>
        <v>0.70999281336311315</v>
      </c>
      <c r="O13" s="164">
        <f>O12*W12</f>
        <v>0.83802951368491152</v>
      </c>
      <c r="P13" s="164">
        <f t="shared" ref="P13:P59" si="9">H13*J13*M13</f>
        <v>2.7303798674580756E-2</v>
      </c>
      <c r="Q13" s="164">
        <f t="shared" ref="Q13:Q59" si="10">N13*K13*H13</f>
        <v>3.1192289670242544E-2</v>
      </c>
      <c r="R13" s="164">
        <f t="shared" ref="R13:R59" si="11">H13*L13*O13</f>
        <v>3.6817357656412482E-2</v>
      </c>
      <c r="S13" s="156">
        <f>P13*$E13</f>
        <v>2.7303798674580757</v>
      </c>
      <c r="T13" s="156">
        <f t="shared" ref="T13:T59" si="12">Q13*$F13</f>
        <v>3.1192289670242546</v>
      </c>
      <c r="U13" s="165">
        <f t="shared" ref="U13:U22" si="13">R13*$G13</f>
        <v>3.6817357656412484</v>
      </c>
      <c r="W13" s="154">
        <f t="shared" ref="W13:W61" si="14">1-H13</f>
        <v>0.85262605850990703</v>
      </c>
    </row>
    <row r="14" spans="1:25" x14ac:dyDescent="0.25">
      <c r="A14" s="163"/>
      <c r="B14" s="163"/>
      <c r="C14" s="440"/>
      <c r="D14" s="147" t="s">
        <v>181</v>
      </c>
      <c r="E14" s="166">
        <f>IF(E13&gt;0.1,-100/($D$2-3)+E13,0)</f>
        <v>96.296296296296291</v>
      </c>
      <c r="F14" s="167">
        <f>IF(F13&gt;0.1,-100/($D$2-2)+F13,0)</f>
        <v>96.428571428571431</v>
      </c>
      <c r="G14" s="168">
        <f>IF(G13&gt;0.1,-100/($D$2-1)+G13,0)</f>
        <v>96.551724137931032</v>
      </c>
      <c r="H14" s="147">
        <f t="shared" si="6"/>
        <v>0.1327773966650975</v>
      </c>
      <c r="I14" s="164">
        <f t="shared" si="7"/>
        <v>0.27585566694502522</v>
      </c>
      <c r="J14" s="164">
        <f t="shared" ref="J14:J59" si="15">I14*E14/100</f>
        <v>0.26563879039150573</v>
      </c>
      <c r="K14" s="164">
        <f t="shared" ref="K14:K59" si="16">I14*F14/100</f>
        <v>0.26600367883984577</v>
      </c>
      <c r="L14" s="164">
        <f t="shared" ref="L14:L59" si="17">I14*G14/100</f>
        <v>0.26634340256761058</v>
      </c>
      <c r="M14" s="164">
        <f t="shared" si="8"/>
        <v>0.52989323147394563</v>
      </c>
      <c r="N14" s="164">
        <f t="shared" ref="N14:N61" si="18">N13*W13</f>
        <v>0.60535837402815118</v>
      </c>
      <c r="O14" s="164">
        <f>O13*W13</f>
        <v>0.71452580116814035</v>
      </c>
      <c r="P14" s="164">
        <f t="shared" si="9"/>
        <v>1.8689772517752379E-2</v>
      </c>
      <c r="Q14" s="164">
        <f t="shared" si="10"/>
        <v>2.1380819478918733E-2</v>
      </c>
      <c r="R14" s="164">
        <f t="shared" si="11"/>
        <v>2.5268764533075555E-2</v>
      </c>
      <c r="S14" s="156">
        <f t="shared" ref="S14:S59" si="19">P14*$E14</f>
        <v>1.7997558720798588</v>
      </c>
      <c r="T14" s="156">
        <f t="shared" si="12"/>
        <v>2.0617218783243065</v>
      </c>
      <c r="U14" s="165">
        <f t="shared" si="13"/>
        <v>2.4397427825038465</v>
      </c>
      <c r="W14" s="154">
        <f t="shared" si="14"/>
        <v>0.86722260333490253</v>
      </c>
    </row>
    <row r="15" spans="1:25" x14ac:dyDescent="0.25">
      <c r="A15" s="163"/>
      <c r="B15" s="163"/>
      <c r="C15" s="440"/>
      <c r="D15" s="147" t="s">
        <v>182</v>
      </c>
      <c r="E15" s="166">
        <f t="shared" ref="E15:E59" si="20">IF(E14&gt;0.1,-100/($D$2-3)+E14,0)</f>
        <v>92.592592592592581</v>
      </c>
      <c r="F15" s="167">
        <f t="shared" ref="F15:F59" si="21">IF(F14&gt;0.1,-100/($D$2-2)+F14,0)</f>
        <v>92.857142857142861</v>
      </c>
      <c r="G15" s="168">
        <f t="shared" ref="G15:G59" si="22">IF(G14&gt;0.1,-100/($D$2-1)+G14,0)</f>
        <v>93.103448275862064</v>
      </c>
      <c r="H15" s="147">
        <f t="shared" si="6"/>
        <v>0.11818085184010199</v>
      </c>
      <c r="I15" s="164">
        <f t="shared" si="7"/>
        <v>0.25360403892583755</v>
      </c>
      <c r="J15" s="164">
        <f t="shared" si="15"/>
        <v>0.23481855456096068</v>
      </c>
      <c r="K15" s="164">
        <f t="shared" si="16"/>
        <v>0.23548946471684917</v>
      </c>
      <c r="L15" s="164">
        <f t="shared" si="17"/>
        <v>0.23611410520681425</v>
      </c>
      <c r="M15" s="164">
        <f t="shared" si="8"/>
        <v>0.45953538768837926</v>
      </c>
      <c r="N15" s="164">
        <f t="shared" si="18"/>
        <v>0.52498046507527696</v>
      </c>
      <c r="O15" s="164">
        <f t="shared" ref="O15:O61" si="23">O14*W14</f>
        <v>0.61965292543899164</v>
      </c>
      <c r="P15" s="164">
        <f t="shared" si="9"/>
        <v>1.2752592648050372E-2</v>
      </c>
      <c r="Q15" s="164">
        <f t="shared" si="10"/>
        <v>1.4610387744588478E-2</v>
      </c>
      <c r="R15" s="164">
        <f t="shared" si="11"/>
        <v>1.7290898146384768E-2</v>
      </c>
      <c r="S15" s="156">
        <f t="shared" si="19"/>
        <v>1.1807956155602195</v>
      </c>
      <c r="T15" s="156">
        <f t="shared" si="12"/>
        <v>1.3566788619975017</v>
      </c>
      <c r="U15" s="165">
        <f t="shared" si="13"/>
        <v>1.6098422412151334</v>
      </c>
      <c r="W15" s="154">
        <f t="shared" si="14"/>
        <v>0.88181914815989804</v>
      </c>
    </row>
    <row r="16" spans="1:25" x14ac:dyDescent="0.25">
      <c r="A16" s="163"/>
      <c r="B16" s="163"/>
      <c r="C16" s="440"/>
      <c r="D16" s="147" t="s">
        <v>183</v>
      </c>
      <c r="E16" s="166">
        <f t="shared" si="20"/>
        <v>88.888888888888872</v>
      </c>
      <c r="F16" s="167">
        <f t="shared" si="21"/>
        <v>89.285714285714292</v>
      </c>
      <c r="G16" s="168">
        <f t="shared" si="22"/>
        <v>89.655172413793096</v>
      </c>
      <c r="H16" s="147">
        <f t="shared" si="6"/>
        <v>0.10358430701510649</v>
      </c>
      <c r="I16" s="164">
        <f t="shared" si="7"/>
        <v>0.23135241090664987</v>
      </c>
      <c r="J16" s="164">
        <f t="shared" si="15"/>
        <v>0.20564658747257764</v>
      </c>
      <c r="K16" s="164">
        <f t="shared" si="16"/>
        <v>0.20656465259522311</v>
      </c>
      <c r="L16" s="164">
        <f t="shared" si="17"/>
        <v>0.20741940288182403</v>
      </c>
      <c r="M16" s="164">
        <f t="shared" si="8"/>
        <v>0.40522710412069507</v>
      </c>
      <c r="N16" s="164">
        <f t="shared" si="18"/>
        <v>0.46293782651326781</v>
      </c>
      <c r="O16" s="164">
        <f t="shared" si="23"/>
        <v>0.54642181486540042</v>
      </c>
      <c r="P16" s="164">
        <f t="shared" si="9"/>
        <v>8.6320502149187101E-3</v>
      </c>
      <c r="Q16" s="164">
        <f t="shared" si="10"/>
        <v>9.9054141927421291E-3</v>
      </c>
      <c r="R16" s="164">
        <f t="shared" si="11"/>
        <v>1.1740088588560483E-2</v>
      </c>
      <c r="S16" s="156">
        <f t="shared" si="19"/>
        <v>0.76729335243721852</v>
      </c>
      <c r="T16" s="156">
        <f t="shared" si="12"/>
        <v>0.88441198149483302</v>
      </c>
      <c r="U16" s="165">
        <f t="shared" si="13"/>
        <v>1.052559666560595</v>
      </c>
      <c r="W16" s="154">
        <f t="shared" si="14"/>
        <v>0.89641569298489354</v>
      </c>
    </row>
    <row r="17" spans="1:25" x14ac:dyDescent="0.25">
      <c r="A17" s="163"/>
      <c r="B17" s="163"/>
      <c r="C17" s="440"/>
      <c r="D17" s="147" t="s">
        <v>184</v>
      </c>
      <c r="E17" s="166">
        <f t="shared" si="20"/>
        <v>85.185185185185162</v>
      </c>
      <c r="F17" s="167">
        <f t="shared" si="21"/>
        <v>85.714285714285722</v>
      </c>
      <c r="G17" s="168">
        <f t="shared" si="22"/>
        <v>86.206896551724128</v>
      </c>
      <c r="H17" s="147">
        <f t="shared" si="6"/>
        <v>8.8987762190110981E-2</v>
      </c>
      <c r="I17" s="164">
        <f t="shared" si="7"/>
        <v>0.2091007828874622</v>
      </c>
      <c r="J17" s="164">
        <f t="shared" si="15"/>
        <v>0.17812288912635665</v>
      </c>
      <c r="K17" s="164">
        <f t="shared" si="16"/>
        <v>0.17922924247496763</v>
      </c>
      <c r="L17" s="164">
        <f t="shared" si="17"/>
        <v>0.18025929559263981</v>
      </c>
      <c r="M17" s="164">
        <f t="shared" si="8"/>
        <v>0.36325193535661449</v>
      </c>
      <c r="N17" s="164">
        <f t="shared" si="18"/>
        <v>0.41498473256281138</v>
      </c>
      <c r="O17" s="164">
        <f t="shared" si="23"/>
        <v>0.48982108983463113</v>
      </c>
      <c r="P17" s="164">
        <f t="shared" si="9"/>
        <v>5.7578182654361284E-3</v>
      </c>
      <c r="Q17" s="164">
        <f t="shared" si="10"/>
        <v>6.6186783173038319E-3</v>
      </c>
      <c r="R17" s="164">
        <f t="shared" si="11"/>
        <v>7.8571570761477392E-3</v>
      </c>
      <c r="S17" s="156">
        <f t="shared" si="19"/>
        <v>0.4904808152038182</v>
      </c>
      <c r="T17" s="156">
        <f t="shared" si="12"/>
        <v>0.56731528434032852</v>
      </c>
      <c r="U17" s="165">
        <f t="shared" si="13"/>
        <v>0.67734112725411533</v>
      </c>
      <c r="W17" s="154">
        <f t="shared" si="14"/>
        <v>0.91101223780988905</v>
      </c>
    </row>
    <row r="18" spans="1:25" x14ac:dyDescent="0.25">
      <c r="A18" s="163"/>
      <c r="B18" s="163"/>
      <c r="C18" s="428"/>
      <c r="D18" s="157" t="s">
        <v>185</v>
      </c>
      <c r="E18" s="169">
        <f t="shared" si="20"/>
        <v>81.481481481481453</v>
      </c>
      <c r="F18" s="170">
        <f t="shared" si="21"/>
        <v>82.142857142857153</v>
      </c>
      <c r="G18" s="171">
        <f t="shared" si="22"/>
        <v>82.75862068965516</v>
      </c>
      <c r="H18" s="157">
        <f t="shared" si="6"/>
        <v>7.4391217365115475E-2</v>
      </c>
      <c r="I18" s="172">
        <f t="shared" si="7"/>
        <v>0.18684915486827453</v>
      </c>
      <c r="J18" s="157">
        <f t="shared" si="15"/>
        <v>0.15224745952229771</v>
      </c>
      <c r="K18" s="172">
        <f t="shared" si="16"/>
        <v>0.15348323435608266</v>
      </c>
      <c r="L18" s="172">
        <f t="shared" si="17"/>
        <v>0.15463378333926164</v>
      </c>
      <c r="M18" s="172">
        <f t="shared" si="8"/>
        <v>0.33092695851800252</v>
      </c>
      <c r="N18" s="172">
        <f t="shared" si="18"/>
        <v>0.3780561698689851</v>
      </c>
      <c r="O18" s="172">
        <f t="shared" si="23"/>
        <v>0.44623300717672598</v>
      </c>
      <c r="P18" s="172">
        <f t="shared" si="9"/>
        <v>3.7480369872646096E-3</v>
      </c>
      <c r="Q18" s="172">
        <f t="shared" si="10"/>
        <v>4.316571493869493E-3</v>
      </c>
      <c r="R18" s="172">
        <f t="shared" si="11"/>
        <v>5.1331947169002178E-3</v>
      </c>
      <c r="S18" s="173">
        <f t="shared" si="19"/>
        <v>0.30539560636970881</v>
      </c>
      <c r="T18" s="173">
        <f t="shared" si="12"/>
        <v>0.35457551556785127</v>
      </c>
      <c r="U18" s="174">
        <f t="shared" si="13"/>
        <v>0.42481611450208695</v>
      </c>
      <c r="W18" s="154">
        <f t="shared" si="14"/>
        <v>0.92560878263488455</v>
      </c>
    </row>
    <row r="19" spans="1:25" x14ac:dyDescent="0.25">
      <c r="A19" s="163"/>
      <c r="B19" s="163"/>
      <c r="C19" s="437" t="s">
        <v>186</v>
      </c>
      <c r="D19" s="147" t="s">
        <v>187</v>
      </c>
      <c r="E19" s="166">
        <f t="shared" si="20"/>
        <v>77.777777777777743</v>
      </c>
      <c r="F19" s="167">
        <f t="shared" si="21"/>
        <v>78.571428571428584</v>
      </c>
      <c r="G19" s="168">
        <f t="shared" si="22"/>
        <v>79.310344827586192</v>
      </c>
      <c r="H19" s="175">
        <f>'Processor LT base'!J4</f>
        <v>5.9794672540119928E-2</v>
      </c>
      <c r="I19" s="176">
        <f>'Processor LT base'!K4</f>
        <v>0.16459752684908685</v>
      </c>
      <c r="J19" s="164">
        <f t="shared" si="15"/>
        <v>0.12802029866040082</v>
      </c>
      <c r="K19" s="177">
        <f t="shared" si="16"/>
        <v>0.12932662823856825</v>
      </c>
      <c r="L19" s="177">
        <f t="shared" si="17"/>
        <v>0.13054286612168955</v>
      </c>
      <c r="M19" s="178">
        <f t="shared" si="8"/>
        <v>0.30630889921491328</v>
      </c>
      <c r="N19" s="178">
        <f t="shared" si="18"/>
        <v>0.34993211116003842</v>
      </c>
      <c r="O19" s="178">
        <f t="shared" si="23"/>
        <v>0.41303719054435306</v>
      </c>
      <c r="P19" s="178">
        <f t="shared" si="9"/>
        <v>2.3447737445220574E-3</v>
      </c>
      <c r="Q19" s="178">
        <f t="shared" si="10"/>
        <v>2.7060401978401907E-3</v>
      </c>
      <c r="R19" s="178">
        <f t="shared" si="11"/>
        <v>3.2240724567550857E-3</v>
      </c>
      <c r="S19" s="156">
        <f t="shared" si="19"/>
        <v>0.18237129124060439</v>
      </c>
      <c r="T19" s="156">
        <f t="shared" si="12"/>
        <v>0.21261744411601502</v>
      </c>
      <c r="U19" s="165">
        <f t="shared" si="13"/>
        <v>0.2557022982943688</v>
      </c>
      <c r="W19" s="154">
        <f t="shared" si="14"/>
        <v>0.94020532745988006</v>
      </c>
    </row>
    <row r="20" spans="1:25" x14ac:dyDescent="0.25">
      <c r="A20" s="163"/>
      <c r="B20" s="163"/>
      <c r="C20" s="438"/>
      <c r="D20" s="147" t="s">
        <v>188</v>
      </c>
      <c r="E20" s="166">
        <f t="shared" si="20"/>
        <v>74.074074074074034</v>
      </c>
      <c r="F20" s="167">
        <f t="shared" si="21"/>
        <v>75.000000000000014</v>
      </c>
      <c r="G20" s="168">
        <f t="shared" si="22"/>
        <v>75.862068965517224</v>
      </c>
      <c r="H20" s="147">
        <f>H19</f>
        <v>5.9794672540119928E-2</v>
      </c>
      <c r="I20" s="164">
        <f>I19</f>
        <v>0.16459752684908685</v>
      </c>
      <c r="J20" s="164">
        <f t="shared" si="15"/>
        <v>0.1219240939622865</v>
      </c>
      <c r="K20" s="164">
        <f t="shared" si="16"/>
        <v>0.12344814513681517</v>
      </c>
      <c r="L20" s="164">
        <f t="shared" si="17"/>
        <v>0.12486708933379</v>
      </c>
      <c r="M20" s="164">
        <f t="shared" si="8"/>
        <v>0.28799325889023292</v>
      </c>
      <c r="N20" s="164">
        <f t="shared" si="18"/>
        <v>0.3290080351619511</v>
      </c>
      <c r="O20" s="164">
        <f t="shared" si="23"/>
        <v>0.38833976698886236</v>
      </c>
      <c r="P20" s="164">
        <f t="shared" si="9"/>
        <v>2.0995893012263718E-3</v>
      </c>
      <c r="Q20" s="164">
        <f t="shared" si="10"/>
        <v>2.4285864371331204E-3</v>
      </c>
      <c r="R20" s="164">
        <f t="shared" si="11"/>
        <v>2.8994948782204997E-3</v>
      </c>
      <c r="S20" s="156">
        <f t="shared" si="19"/>
        <v>0.15552513342417559</v>
      </c>
      <c r="T20" s="156">
        <f t="shared" si="12"/>
        <v>0.18214398278498406</v>
      </c>
      <c r="U20" s="165">
        <f t="shared" si="13"/>
        <v>0.21996168041672751</v>
      </c>
      <c r="W20" s="154">
        <f t="shared" si="14"/>
        <v>0.94020532745988006</v>
      </c>
    </row>
    <row r="21" spans="1:25" x14ac:dyDescent="0.25">
      <c r="A21" s="163"/>
      <c r="B21" s="163"/>
      <c r="C21" s="438"/>
      <c r="D21" s="147" t="s">
        <v>189</v>
      </c>
      <c r="E21" s="166">
        <f t="shared" si="20"/>
        <v>70.370370370370324</v>
      </c>
      <c r="F21" s="167">
        <f t="shared" si="21"/>
        <v>71.428571428571445</v>
      </c>
      <c r="G21" s="168">
        <f t="shared" si="22"/>
        <v>72.413793103448256</v>
      </c>
      <c r="H21" s="147">
        <f t="shared" ref="H21:I36" si="24">H20</f>
        <v>5.9794672540119928E-2</v>
      </c>
      <c r="I21" s="164">
        <f t="shared" si="24"/>
        <v>0.16459752684908685</v>
      </c>
      <c r="J21" s="164">
        <f t="shared" si="15"/>
        <v>0.11582788926417216</v>
      </c>
      <c r="K21" s="164">
        <f t="shared" si="16"/>
        <v>0.11756966203506206</v>
      </c>
      <c r="L21" s="164">
        <f t="shared" si="17"/>
        <v>0.11919131254589045</v>
      </c>
      <c r="M21" s="164">
        <f t="shared" si="8"/>
        <v>0.27077279628112944</v>
      </c>
      <c r="N21" s="164">
        <f t="shared" si="18"/>
        <v>0.30933510743637394</v>
      </c>
      <c r="O21" s="164">
        <f t="shared" si="23"/>
        <v>0.36511911778745687</v>
      </c>
      <c r="P21" s="147">
        <f t="shared" si="9"/>
        <v>1.8753427941662609E-3</v>
      </c>
      <c r="Q21" s="164">
        <f t="shared" si="10"/>
        <v>2.1746380060851133E-3</v>
      </c>
      <c r="R21" s="164">
        <f t="shared" si="11"/>
        <v>2.6022059618343888E-3</v>
      </c>
      <c r="S21" s="156">
        <f t="shared" si="19"/>
        <v>0.13196856699688495</v>
      </c>
      <c r="T21" s="156">
        <f t="shared" si="12"/>
        <v>0.15533128614893671</v>
      </c>
      <c r="U21" s="165">
        <f t="shared" si="13"/>
        <v>0.188435604132835</v>
      </c>
      <c r="V21" s="114"/>
      <c r="W21" s="154">
        <f t="shared" si="14"/>
        <v>0.94020532745988006</v>
      </c>
      <c r="X21" s="179"/>
      <c r="Y21" s="179"/>
    </row>
    <row r="22" spans="1:25" x14ac:dyDescent="0.25">
      <c r="A22" s="163"/>
      <c r="B22" s="163"/>
      <c r="C22" s="438"/>
      <c r="D22" s="147" t="s">
        <v>190</v>
      </c>
      <c r="E22" s="166">
        <f t="shared" si="20"/>
        <v>66.666666666666615</v>
      </c>
      <c r="F22" s="167">
        <f t="shared" si="21"/>
        <v>67.857142857142875</v>
      </c>
      <c r="G22" s="168">
        <f t="shared" si="22"/>
        <v>68.965517241379288</v>
      </c>
      <c r="H22" s="147">
        <f t="shared" si="24"/>
        <v>5.9794672540119928E-2</v>
      </c>
      <c r="I22" s="164">
        <f t="shared" si="24"/>
        <v>0.16459752684908685</v>
      </c>
      <c r="J22" s="164">
        <f t="shared" si="15"/>
        <v>0.10973168456605782</v>
      </c>
      <c r="K22" s="147">
        <f t="shared" si="16"/>
        <v>0.11169117893330897</v>
      </c>
      <c r="L22" s="164">
        <f t="shared" si="17"/>
        <v>0.11351553575799089</v>
      </c>
      <c r="M22" s="164">
        <f t="shared" si="8"/>
        <v>0.2545820255947267</v>
      </c>
      <c r="N22" s="164">
        <f t="shared" si="18"/>
        <v>0.29083851598205313</v>
      </c>
      <c r="O22" s="164">
        <f t="shared" si="23"/>
        <v>0.34328693970121843</v>
      </c>
      <c r="P22" s="147">
        <f t="shared" si="9"/>
        <v>1.6704069024207938E-3</v>
      </c>
      <c r="Q22" s="147">
        <f t="shared" si="10"/>
        <v>1.942375926687057E-3</v>
      </c>
      <c r="R22" s="164">
        <f t="shared" si="11"/>
        <v>2.3301027699662415E-3</v>
      </c>
      <c r="S22" s="156">
        <f t="shared" si="19"/>
        <v>0.11136046016138616</v>
      </c>
      <c r="T22" s="156">
        <f t="shared" si="12"/>
        <v>0.13180408073947891</v>
      </c>
      <c r="U22" s="165">
        <f t="shared" si="13"/>
        <v>0.16069674275629248</v>
      </c>
      <c r="V22" s="114"/>
      <c r="W22" s="154">
        <f t="shared" si="14"/>
        <v>0.94020532745988006</v>
      </c>
      <c r="X22" s="179"/>
      <c r="Y22" s="179"/>
    </row>
    <row r="23" spans="1:25" x14ac:dyDescent="0.25">
      <c r="A23" s="163"/>
      <c r="B23" s="163"/>
      <c r="C23" s="438"/>
      <c r="D23" s="147" t="s">
        <v>191</v>
      </c>
      <c r="E23" s="166">
        <f t="shared" si="20"/>
        <v>62.962962962962912</v>
      </c>
      <c r="F23" s="167">
        <f t="shared" si="21"/>
        <v>64.285714285714306</v>
      </c>
      <c r="G23" s="168">
        <f t="shared" si="22"/>
        <v>65.51724137931032</v>
      </c>
      <c r="H23" s="147">
        <f t="shared" si="24"/>
        <v>5.9794672540119928E-2</v>
      </c>
      <c r="I23" s="164">
        <f t="shared" si="24"/>
        <v>0.16459752684908685</v>
      </c>
      <c r="J23" s="164">
        <f t="shared" si="15"/>
        <v>0.10363547986794348</v>
      </c>
      <c r="K23" s="147">
        <f t="shared" si="16"/>
        <v>0.10581269583155586</v>
      </c>
      <c r="L23" s="147">
        <f t="shared" si="17"/>
        <v>0.10783975897009135</v>
      </c>
      <c r="M23" s="147">
        <f t="shared" si="8"/>
        <v>0.23935937673968957</v>
      </c>
      <c r="N23" s="147">
        <f t="shared" si="18"/>
        <v>0.27344792215685182</v>
      </c>
      <c r="O23" s="164">
        <f t="shared" si="23"/>
        <v>0.3227602095544842</v>
      </c>
      <c r="P23" s="147">
        <f t="shared" si="9"/>
        <v>1.4832740537550201E-3</v>
      </c>
      <c r="Q23" s="147">
        <f t="shared" si="10"/>
        <v>1.7301147102956767E-3</v>
      </c>
      <c r="R23" s="147">
        <f t="shared" si="11"/>
        <v>2.0812362859587196E-3</v>
      </c>
      <c r="S23" s="156">
        <f t="shared" si="19"/>
        <v>9.3391329310501189E-2</v>
      </c>
      <c r="T23" s="156">
        <f t="shared" si="12"/>
        <v>0.11122165994757925</v>
      </c>
      <c r="U23" s="165">
        <f>R23*$G23</f>
        <v>0.13635686011453674</v>
      </c>
      <c r="V23" s="114"/>
      <c r="W23" s="154">
        <f t="shared" si="14"/>
        <v>0.94020532745988006</v>
      </c>
      <c r="X23" s="179"/>
      <c r="Y23" s="179"/>
    </row>
    <row r="24" spans="1:25" x14ac:dyDescent="0.25">
      <c r="A24" s="163"/>
      <c r="B24" s="163"/>
      <c r="C24" s="438"/>
      <c r="D24" s="147" t="s">
        <v>192</v>
      </c>
      <c r="E24" s="166">
        <f t="shared" si="20"/>
        <v>59.25925925925921</v>
      </c>
      <c r="F24" s="167">
        <f t="shared" si="21"/>
        <v>60.714285714285737</v>
      </c>
      <c r="G24" s="168">
        <f t="shared" si="22"/>
        <v>62.068965517241352</v>
      </c>
      <c r="H24" s="147">
        <f t="shared" si="24"/>
        <v>5.9794672540119928E-2</v>
      </c>
      <c r="I24" s="164">
        <f t="shared" si="24"/>
        <v>0.16459752684908685</v>
      </c>
      <c r="J24" s="164">
        <f t="shared" si="15"/>
        <v>9.7539275169829159E-2</v>
      </c>
      <c r="K24" s="147">
        <f t="shared" si="16"/>
        <v>9.9934212729802768E-2</v>
      </c>
      <c r="L24" s="147">
        <f t="shared" si="17"/>
        <v>0.10216398218219179</v>
      </c>
      <c r="M24" s="147">
        <f t="shared" si="8"/>
        <v>0.22504696118813264</v>
      </c>
      <c r="N24" s="147">
        <f t="shared" si="18"/>
        <v>0.25709719319470664</v>
      </c>
      <c r="O24" s="164">
        <f t="shared" si="23"/>
        <v>0.30346086851519333</v>
      </c>
      <c r="P24" s="147">
        <f t="shared" si="9"/>
        <v>1.3125479222809247E-3</v>
      </c>
      <c r="Q24" s="147">
        <f t="shared" si="10"/>
        <v>1.5362928973068858E-3</v>
      </c>
      <c r="R24" s="147">
        <f t="shared" si="11"/>
        <v>1.8538005256685075E-3</v>
      </c>
      <c r="S24" s="156">
        <f t="shared" si="19"/>
        <v>7.7780617616647327E-2</v>
      </c>
      <c r="T24" s="156">
        <f t="shared" si="12"/>
        <v>9.3274925907918096E-2</v>
      </c>
      <c r="U24" s="165">
        <f t="shared" ref="U24:U59" si="25">R24*$G24</f>
        <v>0.11506348090356248</v>
      </c>
      <c r="V24" s="114"/>
      <c r="W24" s="154">
        <f t="shared" si="14"/>
        <v>0.94020532745988006</v>
      </c>
      <c r="X24" s="131"/>
      <c r="Y24" s="131"/>
    </row>
    <row r="25" spans="1:25" x14ac:dyDescent="0.25">
      <c r="A25" s="163"/>
      <c r="B25" s="163"/>
      <c r="C25" s="438"/>
      <c r="D25" s="147" t="s">
        <v>193</v>
      </c>
      <c r="E25" s="166">
        <f t="shared" si="20"/>
        <v>55.555555555555507</v>
      </c>
      <c r="F25" s="167">
        <f t="shared" si="21"/>
        <v>57.142857142857167</v>
      </c>
      <c r="G25" s="168">
        <f t="shared" si="22"/>
        <v>58.620689655172384</v>
      </c>
      <c r="H25" s="147">
        <f t="shared" si="24"/>
        <v>5.9794672540119928E-2</v>
      </c>
      <c r="I25" s="164">
        <f t="shared" si="24"/>
        <v>0.16459752684908685</v>
      </c>
      <c r="J25" s="164">
        <f t="shared" si="15"/>
        <v>9.1443070471714835E-2</v>
      </c>
      <c r="K25" s="147">
        <f t="shared" si="16"/>
        <v>9.4055729628049672E-2</v>
      </c>
      <c r="L25" s="147">
        <f t="shared" si="17"/>
        <v>9.6488205394292231E-2</v>
      </c>
      <c r="M25" s="147">
        <f t="shared" si="8"/>
        <v>0.21159035183773917</v>
      </c>
      <c r="N25" s="147">
        <f t="shared" si="18"/>
        <v>0.24172415071664521</v>
      </c>
      <c r="O25" s="164">
        <f t="shared" si="23"/>
        <v>0.28531552525358694</v>
      </c>
      <c r="P25" s="147">
        <f t="shared" si="9"/>
        <v>1.1569355147577395E-3</v>
      </c>
      <c r="Q25" s="147">
        <f t="shared" si="10"/>
        <v>1.3594642509051373E-3</v>
      </c>
      <c r="R25" s="147">
        <f t="shared" si="11"/>
        <v>1.6461224008213755E-3</v>
      </c>
      <c r="S25" s="156">
        <f t="shared" si="19"/>
        <v>6.4274195264318809E-2</v>
      </c>
      <c r="T25" s="156">
        <f t="shared" si="12"/>
        <v>7.7683671480293592E-2</v>
      </c>
      <c r="U25" s="165">
        <f t="shared" si="25"/>
        <v>9.6496830392977143E-2</v>
      </c>
      <c r="V25" s="114"/>
      <c r="W25" s="154">
        <f t="shared" si="14"/>
        <v>0.94020532745988006</v>
      </c>
      <c r="X25" s="181"/>
      <c r="Y25" s="179"/>
    </row>
    <row r="26" spans="1:25" x14ac:dyDescent="0.25">
      <c r="A26" s="163"/>
      <c r="B26" s="163"/>
      <c r="C26" s="438"/>
      <c r="D26" s="147" t="s">
        <v>194</v>
      </c>
      <c r="E26" s="166">
        <f t="shared" si="20"/>
        <v>51.851851851851805</v>
      </c>
      <c r="F26" s="167">
        <f t="shared" si="21"/>
        <v>53.571428571428598</v>
      </c>
      <c r="G26" s="168">
        <f t="shared" si="22"/>
        <v>55.172413793103416</v>
      </c>
      <c r="H26" s="147">
        <f t="shared" si="24"/>
        <v>5.9794672540119928E-2</v>
      </c>
      <c r="I26" s="164">
        <f t="shared" si="24"/>
        <v>0.16459752684908685</v>
      </c>
      <c r="J26" s="164">
        <f t="shared" si="15"/>
        <v>8.5346865773600525E-2</v>
      </c>
      <c r="K26" s="147">
        <f t="shared" si="16"/>
        <v>8.8177246526296577E-2</v>
      </c>
      <c r="L26" s="147">
        <f t="shared" si="17"/>
        <v>9.0812428606392701E-2</v>
      </c>
      <c r="M26" s="147">
        <f t="shared" si="8"/>
        <v>0.19893837603695277</v>
      </c>
      <c r="N26" s="147">
        <f t="shared" si="18"/>
        <v>0.22727033427950483</v>
      </c>
      <c r="O26" s="164">
        <f t="shared" si="23"/>
        <v>0.26825517685043637</v>
      </c>
      <c r="P26" s="147">
        <f t="shared" si="9"/>
        <v>1.0152398055359143E-3</v>
      </c>
      <c r="Q26" s="147">
        <f t="shared" si="10"/>
        <v>1.198289560492749E-3</v>
      </c>
      <c r="R26" s="147">
        <f t="shared" si="11"/>
        <v>1.456652283203111E-3</v>
      </c>
      <c r="S26" s="156">
        <f t="shared" si="19"/>
        <v>5.264206399075106E-2</v>
      </c>
      <c r="T26" s="156">
        <f t="shared" si="12"/>
        <v>6.4194083597825871E-2</v>
      </c>
      <c r="U26" s="165">
        <f t="shared" si="25"/>
        <v>8.036702252155091E-2</v>
      </c>
      <c r="V26" s="114"/>
      <c r="W26" s="154">
        <f t="shared" si="14"/>
        <v>0.94020532745988006</v>
      </c>
      <c r="X26" s="181"/>
      <c r="Y26" s="179"/>
    </row>
    <row r="27" spans="1:25" x14ac:dyDescent="0.25">
      <c r="A27" s="163"/>
      <c r="B27" s="163"/>
      <c r="C27" s="438"/>
      <c r="D27" s="147" t="s">
        <v>195</v>
      </c>
      <c r="E27" s="166">
        <f t="shared" si="20"/>
        <v>48.148148148148103</v>
      </c>
      <c r="F27" s="167">
        <f t="shared" si="21"/>
        <v>50.000000000000028</v>
      </c>
      <c r="G27" s="168">
        <f t="shared" si="22"/>
        <v>51.724137931034448</v>
      </c>
      <c r="H27" s="147">
        <f t="shared" si="24"/>
        <v>5.9794672540119928E-2</v>
      </c>
      <c r="I27" s="164">
        <f t="shared" si="24"/>
        <v>0.16459752684908685</v>
      </c>
      <c r="J27" s="164">
        <f t="shared" si="15"/>
        <v>7.9250661075486187E-2</v>
      </c>
      <c r="K27" s="147">
        <f t="shared" si="16"/>
        <v>8.2298763424543467E-2</v>
      </c>
      <c r="L27" s="147">
        <f t="shared" si="17"/>
        <v>8.5136651818493142E-2</v>
      </c>
      <c r="M27" s="147">
        <f t="shared" si="8"/>
        <v>0.18704292098615993</v>
      </c>
      <c r="N27" s="147">
        <f t="shared" si="18"/>
        <v>0.21368077906317823</v>
      </c>
      <c r="O27" s="164">
        <f t="shared" si="23"/>
        <v>0.25221494639347258</v>
      </c>
      <c r="P27" s="147">
        <f t="shared" si="9"/>
        <v>8.8635288282747061E-4</v>
      </c>
      <c r="Q27" s="147">
        <f t="shared" si="10"/>
        <v>1.0515290133738513E-3</v>
      </c>
      <c r="R27" s="147">
        <f t="shared" si="11"/>
        <v>1.2839552221164028E-3</v>
      </c>
      <c r="S27" s="156">
        <f t="shared" si="19"/>
        <v>4.2676249913915214E-2</v>
      </c>
      <c r="T27" s="156">
        <f t="shared" si="12"/>
        <v>5.2576450668692598E-2</v>
      </c>
      <c r="U27" s="165">
        <f t="shared" si="25"/>
        <v>6.6411477006020792E-2</v>
      </c>
      <c r="V27" s="114"/>
      <c r="W27" s="154">
        <f t="shared" si="14"/>
        <v>0.94020532745988006</v>
      </c>
      <c r="X27" s="181"/>
      <c r="Y27" s="179"/>
    </row>
    <row r="28" spans="1:25" x14ac:dyDescent="0.25">
      <c r="A28" s="163"/>
      <c r="B28" s="163"/>
      <c r="C28" s="438"/>
      <c r="D28" s="147" t="s">
        <v>196</v>
      </c>
      <c r="E28" s="166">
        <f t="shared" si="20"/>
        <v>44.4444444444444</v>
      </c>
      <c r="F28" s="167">
        <f t="shared" si="21"/>
        <v>46.428571428571459</v>
      </c>
      <c r="G28" s="168">
        <f t="shared" si="22"/>
        <v>48.27586206896548</v>
      </c>
      <c r="H28" s="147">
        <f t="shared" si="24"/>
        <v>5.9794672540119928E-2</v>
      </c>
      <c r="I28" s="164">
        <f t="shared" si="24"/>
        <v>0.16459752684908685</v>
      </c>
      <c r="J28" s="164">
        <f t="shared" si="15"/>
        <v>7.3154456377371863E-2</v>
      </c>
      <c r="K28" s="147">
        <f t="shared" si="16"/>
        <v>7.6420280322790371E-2</v>
      </c>
      <c r="L28" s="147">
        <f t="shared" si="17"/>
        <v>7.9460875030593583E-2</v>
      </c>
      <c r="M28" s="147">
        <f t="shared" si="8"/>
        <v>0.17585875077484497</v>
      </c>
      <c r="N28" s="147">
        <f t="shared" si="18"/>
        <v>0.20090380685097778</v>
      </c>
      <c r="O28" s="164">
        <f t="shared" si="23"/>
        <v>0.23713383626415099</v>
      </c>
      <c r="P28" s="147">
        <f t="shared" si="9"/>
        <v>7.6924957148659444E-4</v>
      </c>
      <c r="Q28" s="147">
        <f t="shared" si="10"/>
        <v>9.1803509604181739E-4</v>
      </c>
      <c r="R28" s="147">
        <f t="shared" si="11"/>
        <v>1.1267027707168569E-3</v>
      </c>
      <c r="S28" s="156">
        <f t="shared" si="19"/>
        <v>3.4188869843848606E-2</v>
      </c>
      <c r="T28" s="156">
        <f t="shared" si="12"/>
        <v>4.2623058030512979E-2</v>
      </c>
      <c r="U28" s="165">
        <f t="shared" si="25"/>
        <v>5.4392547551848226E-2</v>
      </c>
      <c r="V28" s="114"/>
      <c r="W28" s="154">
        <f t="shared" si="14"/>
        <v>0.94020532745988006</v>
      </c>
      <c r="X28" s="179"/>
      <c r="Y28" s="179"/>
    </row>
    <row r="29" spans="1:25" x14ac:dyDescent="0.25">
      <c r="A29" s="163"/>
      <c r="B29" s="163"/>
      <c r="C29" s="438"/>
      <c r="D29" s="147" t="s">
        <v>197</v>
      </c>
      <c r="E29" s="166">
        <f t="shared" si="20"/>
        <v>40.740740740740698</v>
      </c>
      <c r="F29" s="167">
        <f t="shared" si="21"/>
        <v>42.85714285714289</v>
      </c>
      <c r="G29" s="168">
        <f t="shared" si="22"/>
        <v>44.827586206896513</v>
      </c>
      <c r="H29" s="147">
        <f t="shared" si="24"/>
        <v>5.9794672540119928E-2</v>
      </c>
      <c r="I29" s="164">
        <f t="shared" si="24"/>
        <v>0.16459752684908685</v>
      </c>
      <c r="J29" s="164">
        <f t="shared" si="15"/>
        <v>6.7058251679257538E-2</v>
      </c>
      <c r="K29" s="147">
        <f t="shared" si="16"/>
        <v>7.0541797221037275E-2</v>
      </c>
      <c r="L29" s="147">
        <f t="shared" si="17"/>
        <v>7.3785098242694039E-2</v>
      </c>
      <c r="M29" s="147">
        <f t="shared" si="8"/>
        <v>0.16534333435894855</v>
      </c>
      <c r="N29" s="147">
        <f t="shared" si="18"/>
        <v>0.18889082950826006</v>
      </c>
      <c r="O29" s="164">
        <f t="shared" si="23"/>
        <v>0.22295449617655366</v>
      </c>
      <c r="P29" s="147">
        <f t="shared" si="9"/>
        <v>6.6298149981976542E-4</v>
      </c>
      <c r="Q29" s="147">
        <f t="shared" si="10"/>
        <v>7.9674598900953189E-4</v>
      </c>
      <c r="R29" s="147">
        <f t="shared" si="11"/>
        <v>9.8366537981381115E-4</v>
      </c>
      <c r="S29" s="156">
        <f t="shared" si="19"/>
        <v>2.7010357400064487E-2</v>
      </c>
      <c r="T29" s="156">
        <f t="shared" si="12"/>
        <v>3.4146256671837107E-2</v>
      </c>
      <c r="U29" s="165">
        <f t="shared" si="25"/>
        <v>4.4095344612343219E-2</v>
      </c>
      <c r="V29" s="114"/>
      <c r="W29" s="154">
        <f t="shared" si="14"/>
        <v>0.94020532745988006</v>
      </c>
      <c r="X29" s="179"/>
      <c r="Y29" s="179"/>
    </row>
    <row r="30" spans="1:25" x14ac:dyDescent="0.25">
      <c r="A30" s="163"/>
      <c r="B30" s="163"/>
      <c r="C30" s="438"/>
      <c r="D30" s="147" t="s">
        <v>198</v>
      </c>
      <c r="E30" s="166">
        <f t="shared" si="20"/>
        <v>37.037037037036995</v>
      </c>
      <c r="F30" s="167">
        <f t="shared" si="21"/>
        <v>39.28571428571432</v>
      </c>
      <c r="G30" s="168">
        <f t="shared" si="22"/>
        <v>41.379310344827545</v>
      </c>
      <c r="H30" s="147">
        <f t="shared" si="24"/>
        <v>5.9794672540119928E-2</v>
      </c>
      <c r="I30" s="164">
        <f t="shared" si="24"/>
        <v>0.16459752684908685</v>
      </c>
      <c r="J30" s="164">
        <f t="shared" si="15"/>
        <v>6.0962046981143214E-2</v>
      </c>
      <c r="K30" s="147">
        <f t="shared" si="16"/>
        <v>6.4663314119284179E-2</v>
      </c>
      <c r="L30" s="147">
        <f t="shared" si="17"/>
        <v>6.8109321454794494E-2</v>
      </c>
      <c r="M30" s="147">
        <f t="shared" si="8"/>
        <v>0.15545668382426364</v>
      </c>
      <c r="N30" s="147">
        <f t="shared" si="18"/>
        <v>0.17759616421198202</v>
      </c>
      <c r="O30" s="164">
        <f t="shared" si="23"/>
        <v>0.20962300508632922</v>
      </c>
      <c r="P30" s="147">
        <f t="shared" si="9"/>
        <v>5.6667158012534981E-4</v>
      </c>
      <c r="Q30" s="147">
        <f t="shared" si="10"/>
        <v>6.8667942154079862E-4</v>
      </c>
      <c r="R30" s="147">
        <f t="shared" si="11"/>
        <v>8.5370532049734607E-4</v>
      </c>
      <c r="S30" s="156">
        <f t="shared" si="19"/>
        <v>2.098783630093886E-2</v>
      </c>
      <c r="T30" s="156">
        <f t="shared" si="12"/>
        <v>2.69766915605314E-2</v>
      </c>
      <c r="U30" s="165">
        <f t="shared" si="25"/>
        <v>3.5325737399890145E-2</v>
      </c>
      <c r="W30" s="154">
        <f t="shared" si="14"/>
        <v>0.94020532745988006</v>
      </c>
    </row>
    <row r="31" spans="1:25" x14ac:dyDescent="0.25">
      <c r="A31" s="163"/>
      <c r="B31" s="163"/>
      <c r="C31" s="438"/>
      <c r="D31" s="147" t="s">
        <v>199</v>
      </c>
      <c r="E31" s="166">
        <f t="shared" si="20"/>
        <v>33.333333333333293</v>
      </c>
      <c r="F31" s="167">
        <f t="shared" si="21"/>
        <v>35.714285714285751</v>
      </c>
      <c r="G31" s="168">
        <f t="shared" si="22"/>
        <v>37.931034482758577</v>
      </c>
      <c r="H31" s="147">
        <f t="shared" si="24"/>
        <v>5.9794672540119928E-2</v>
      </c>
      <c r="I31" s="164">
        <f t="shared" si="24"/>
        <v>0.16459752684908685</v>
      </c>
      <c r="J31" s="164">
        <f t="shared" si="15"/>
        <v>5.4865842283028883E-2</v>
      </c>
      <c r="K31" s="147">
        <f t="shared" si="16"/>
        <v>5.8784831017531076E-2</v>
      </c>
      <c r="L31" s="147">
        <f t="shared" si="17"/>
        <v>6.2433544666894943E-2</v>
      </c>
      <c r="M31" s="147">
        <f t="shared" si="8"/>
        <v>0.14616120232081883</v>
      </c>
      <c r="N31" s="147">
        <f t="shared" si="18"/>
        <v>0.16697685972854517</v>
      </c>
      <c r="O31" s="164">
        <f t="shared" si="23"/>
        <v>0.19708866614031628</v>
      </c>
      <c r="P31" s="147">
        <f t="shared" si="9"/>
        <v>4.7950887469856593E-4</v>
      </c>
      <c r="Q31" s="147">
        <f t="shared" si="10"/>
        <v>5.8692695489975235E-4</v>
      </c>
      <c r="R31" s="147">
        <f t="shared" si="11"/>
        <v>7.3577009954474491E-4</v>
      </c>
      <c r="S31" s="156">
        <f t="shared" si="19"/>
        <v>1.5983629156618846E-2</v>
      </c>
      <c r="T31" s="156">
        <f t="shared" si="12"/>
        <v>2.0961676960705462E-2</v>
      </c>
      <c r="U31" s="165">
        <f t="shared" si="25"/>
        <v>2.790852101721443E-2</v>
      </c>
      <c r="W31" s="154">
        <f t="shared" si="14"/>
        <v>0.94020532745988006</v>
      </c>
    </row>
    <row r="32" spans="1:25" x14ac:dyDescent="0.25">
      <c r="A32" s="163"/>
      <c r="B32" s="163"/>
      <c r="C32" s="438"/>
      <c r="D32" s="147" t="s">
        <v>200</v>
      </c>
      <c r="E32" s="166">
        <f t="shared" si="20"/>
        <v>29.629629629629591</v>
      </c>
      <c r="F32" s="167">
        <f t="shared" si="21"/>
        <v>32.142857142857181</v>
      </c>
      <c r="G32" s="168">
        <f t="shared" si="22"/>
        <v>34.482758620689609</v>
      </c>
      <c r="H32" s="147">
        <f t="shared" si="24"/>
        <v>5.9794672540119928E-2</v>
      </c>
      <c r="I32" s="164">
        <f t="shared" si="24"/>
        <v>0.16459752684908685</v>
      </c>
      <c r="J32" s="164">
        <f t="shared" si="15"/>
        <v>4.8769637584914566E-2</v>
      </c>
      <c r="K32" s="147">
        <f t="shared" si="16"/>
        <v>5.2906347915777981E-2</v>
      </c>
      <c r="L32" s="147">
        <f t="shared" si="17"/>
        <v>5.6757767878995391E-2</v>
      </c>
      <c r="M32" s="147">
        <f t="shared" si="8"/>
        <v>0.13742154108997526</v>
      </c>
      <c r="N32" s="147">
        <f t="shared" si="18"/>
        <v>0.15699253307929928</v>
      </c>
      <c r="O32" s="164">
        <f t="shared" si="23"/>
        <v>0.18530381388708705</v>
      </c>
      <c r="P32" s="147">
        <f t="shared" si="9"/>
        <v>4.0074382093856339E-4</v>
      </c>
      <c r="Q32" s="147">
        <f t="shared" si="10"/>
        <v>4.9664866484389687E-4</v>
      </c>
      <c r="R32" s="147">
        <f t="shared" si="11"/>
        <v>6.2888633397968673E-4</v>
      </c>
      <c r="S32" s="156">
        <f t="shared" si="19"/>
        <v>1.1873890990772233E-2</v>
      </c>
      <c r="T32" s="156">
        <f t="shared" si="12"/>
        <v>1.5963707084268131E-2</v>
      </c>
      <c r="U32" s="165">
        <f t="shared" si="25"/>
        <v>2.1685735654471926E-2</v>
      </c>
      <c r="W32" s="154">
        <f t="shared" si="14"/>
        <v>0.94020532745988006</v>
      </c>
    </row>
    <row r="33" spans="1:23" x14ac:dyDescent="0.25">
      <c r="A33" s="163"/>
      <c r="B33" s="163"/>
      <c r="C33" s="438"/>
      <c r="D33" s="147" t="s">
        <v>201</v>
      </c>
      <c r="E33" s="166">
        <f t="shared" si="20"/>
        <v>25.925925925925888</v>
      </c>
      <c r="F33" s="167">
        <f t="shared" si="21"/>
        <v>28.571428571428608</v>
      </c>
      <c r="G33" s="168">
        <f t="shared" si="22"/>
        <v>31.034482758620644</v>
      </c>
      <c r="H33" s="147">
        <f t="shared" si="24"/>
        <v>5.9794672540119928E-2</v>
      </c>
      <c r="I33" s="164">
        <f t="shared" si="24"/>
        <v>0.16459752684908685</v>
      </c>
      <c r="J33" s="164">
        <f t="shared" si="15"/>
        <v>4.2673432886800235E-2</v>
      </c>
      <c r="K33" s="147">
        <f t="shared" si="16"/>
        <v>4.7027864814024871E-2</v>
      </c>
      <c r="L33" s="147">
        <f t="shared" si="17"/>
        <v>5.1081991091095846E-2</v>
      </c>
      <c r="M33" s="147">
        <f t="shared" si="8"/>
        <v>0.12920446504054156</v>
      </c>
      <c r="N33" s="147">
        <f t="shared" si="18"/>
        <v>0.14760521597257864</v>
      </c>
      <c r="O33" s="164">
        <f t="shared" si="23"/>
        <v>0.17422363301527335</v>
      </c>
      <c r="P33" s="147">
        <f t="shared" si="9"/>
        <v>3.2968379096893222E-4</v>
      </c>
      <c r="Q33" s="147">
        <f t="shared" si="10"/>
        <v>4.1506819605517182E-4</v>
      </c>
      <c r="R33" s="147">
        <f t="shared" si="11"/>
        <v>5.3215405341697328E-4</v>
      </c>
      <c r="S33" s="156">
        <f t="shared" si="19"/>
        <v>8.5473575436389709E-3</v>
      </c>
      <c r="T33" s="156">
        <f t="shared" si="12"/>
        <v>1.1859091315862068E-2</v>
      </c>
      <c r="U33" s="165">
        <f t="shared" si="25"/>
        <v>1.6515125795699147E-2</v>
      </c>
      <c r="W33" s="154">
        <f t="shared" si="14"/>
        <v>0.94020532745988006</v>
      </c>
    </row>
    <row r="34" spans="1:23" x14ac:dyDescent="0.25">
      <c r="A34" s="163"/>
      <c r="B34" s="163"/>
      <c r="C34" s="438"/>
      <c r="D34" s="147" t="s">
        <v>202</v>
      </c>
      <c r="E34" s="166">
        <f t="shared" si="20"/>
        <v>22.222222222222186</v>
      </c>
      <c r="F34" s="167">
        <f t="shared" si="21"/>
        <v>25.000000000000036</v>
      </c>
      <c r="G34" s="168">
        <f t="shared" si="22"/>
        <v>27.58620689655168</v>
      </c>
      <c r="H34" s="147">
        <f t="shared" si="24"/>
        <v>5.9794672540119928E-2</v>
      </c>
      <c r="I34" s="164">
        <f t="shared" si="24"/>
        <v>0.16459752684908685</v>
      </c>
      <c r="J34" s="164">
        <f t="shared" si="15"/>
        <v>3.657722818868591E-2</v>
      </c>
      <c r="K34" s="147">
        <f t="shared" si="16"/>
        <v>4.1149381712271768E-2</v>
      </c>
      <c r="L34" s="147">
        <f t="shared" si="17"/>
        <v>4.5406214303196302E-2</v>
      </c>
      <c r="M34" s="147">
        <f t="shared" si="8"/>
        <v>0.121478726362721</v>
      </c>
      <c r="N34" s="147">
        <f t="shared" si="18"/>
        <v>0.13877921041828462</v>
      </c>
      <c r="O34" s="164">
        <f t="shared" si="23"/>
        <v>0.16380598793037507</v>
      </c>
      <c r="P34" s="147">
        <f t="shared" si="9"/>
        <v>2.6568896283956533E-4</v>
      </c>
      <c r="Q34" s="147">
        <f t="shared" si="10"/>
        <v>3.4146816304145522E-4</v>
      </c>
      <c r="R34" s="147">
        <f t="shared" si="11"/>
        <v>4.4474140093511802E-4</v>
      </c>
      <c r="S34" s="156">
        <f t="shared" si="19"/>
        <v>5.904199174212553E-3</v>
      </c>
      <c r="T34" s="156">
        <f t="shared" si="12"/>
        <v>8.5367040760363933E-3</v>
      </c>
      <c r="U34" s="165">
        <f t="shared" si="25"/>
        <v>1.2268728301658408E-2</v>
      </c>
      <c r="W34" s="154">
        <f t="shared" si="14"/>
        <v>0.94020532745988006</v>
      </c>
    </row>
    <row r="35" spans="1:23" x14ac:dyDescent="0.25">
      <c r="A35" s="163"/>
      <c r="B35" s="163"/>
      <c r="C35" s="438"/>
      <c r="D35" s="147" t="s">
        <v>203</v>
      </c>
      <c r="E35" s="166">
        <f t="shared" si="20"/>
        <v>18.518518518518484</v>
      </c>
      <c r="F35" s="167">
        <f t="shared" si="21"/>
        <v>21.428571428571463</v>
      </c>
      <c r="G35" s="168">
        <f t="shared" si="22"/>
        <v>24.137931034482715</v>
      </c>
      <c r="H35" s="147">
        <f t="shared" si="24"/>
        <v>5.9794672540119928E-2</v>
      </c>
      <c r="I35" s="164">
        <f t="shared" si="24"/>
        <v>0.16459752684908685</v>
      </c>
      <c r="J35" s="164">
        <f t="shared" si="15"/>
        <v>3.0481023490571579E-2</v>
      </c>
      <c r="K35" s="147">
        <f t="shared" si="16"/>
        <v>3.5270898610518665E-2</v>
      </c>
      <c r="L35" s="147">
        <f t="shared" si="17"/>
        <v>3.9730437515296757E-2</v>
      </c>
      <c r="M35" s="147">
        <f t="shared" si="8"/>
        <v>0.11421494569927126</v>
      </c>
      <c r="N35" s="147">
        <f t="shared" si="18"/>
        <v>0.13048095297594689</v>
      </c>
      <c r="O35" s="164">
        <f t="shared" si="23"/>
        <v>0.15401126252196745</v>
      </c>
      <c r="P35" s="147">
        <f t="shared" si="9"/>
        <v>2.0816848192420776E-4</v>
      </c>
      <c r="Q35" s="147">
        <f t="shared" si="10"/>
        <v>2.7518587375672735E-4</v>
      </c>
      <c r="R35" s="147">
        <f t="shared" si="11"/>
        <v>3.6587970518852232E-4</v>
      </c>
      <c r="S35" s="156">
        <f t="shared" si="19"/>
        <v>3.8549718874853218E-3</v>
      </c>
      <c r="T35" s="156">
        <f t="shared" si="12"/>
        <v>5.8968401519298814E-3</v>
      </c>
      <c r="U35" s="165">
        <f t="shared" si="25"/>
        <v>8.8315790907574198E-3</v>
      </c>
      <c r="W35" s="154">
        <f t="shared" si="14"/>
        <v>0.94020532745988006</v>
      </c>
    </row>
    <row r="36" spans="1:23" x14ac:dyDescent="0.25">
      <c r="A36" s="163"/>
      <c r="B36" s="163"/>
      <c r="C36" s="438"/>
      <c r="D36" s="147" t="s">
        <v>204</v>
      </c>
      <c r="E36" s="166">
        <f t="shared" si="20"/>
        <v>14.814814814814779</v>
      </c>
      <c r="F36" s="167">
        <f t="shared" si="21"/>
        <v>17.85714285714289</v>
      </c>
      <c r="G36" s="168">
        <f t="shared" si="22"/>
        <v>20.689655172413751</v>
      </c>
      <c r="H36" s="147">
        <f t="shared" si="24"/>
        <v>5.9794672540119928E-2</v>
      </c>
      <c r="I36" s="164">
        <f t="shared" si="24"/>
        <v>0.16459752684908685</v>
      </c>
      <c r="J36" s="164">
        <f t="shared" si="15"/>
        <v>2.4384818792457255E-2</v>
      </c>
      <c r="K36" s="147">
        <f t="shared" si="16"/>
        <v>2.9392415508765563E-2</v>
      </c>
      <c r="L36" s="147">
        <f t="shared" si="17"/>
        <v>3.4054660727397212E-2</v>
      </c>
      <c r="M36" s="147">
        <f t="shared" si="8"/>
        <v>0.10738550042199575</v>
      </c>
      <c r="N36" s="147">
        <f t="shared" si="18"/>
        <v>0.12267888712002736</v>
      </c>
      <c r="O36" s="164">
        <f t="shared" si="23"/>
        <v>0.14480220951197595</v>
      </c>
      <c r="P36" s="147">
        <f t="shared" si="9"/>
        <v>1.5657689257150066E-4</v>
      </c>
      <c r="Q36" s="147">
        <f t="shared" si="10"/>
        <v>2.1560935378981425E-4</v>
      </c>
      <c r="R36" s="147">
        <f t="shared" si="11"/>
        <v>2.9485889830945623E-4</v>
      </c>
      <c r="S36" s="156">
        <f t="shared" si="19"/>
        <v>2.3196576677259302E-3</v>
      </c>
      <c r="T36" s="156">
        <f t="shared" si="12"/>
        <v>3.8501670319609758E-3</v>
      </c>
      <c r="U36" s="165">
        <f t="shared" si="25"/>
        <v>6.1005289305404616E-3</v>
      </c>
      <c r="W36" s="154">
        <f t="shared" si="14"/>
        <v>0.94020532745988006</v>
      </c>
    </row>
    <row r="37" spans="1:23" x14ac:dyDescent="0.25">
      <c r="A37" s="163"/>
      <c r="B37" s="163"/>
      <c r="C37" s="438"/>
      <c r="D37" s="147" t="s">
        <v>205</v>
      </c>
      <c r="E37" s="166">
        <f t="shared" si="20"/>
        <v>11.111111111111075</v>
      </c>
      <c r="F37" s="167">
        <f t="shared" si="21"/>
        <v>14.285714285714318</v>
      </c>
      <c r="G37" s="168">
        <f t="shared" si="22"/>
        <v>17.241379310344787</v>
      </c>
      <c r="H37" s="147">
        <f t="shared" ref="H37:I52" si="26">H36</f>
        <v>5.9794672540119928E-2</v>
      </c>
      <c r="I37" s="164">
        <f t="shared" si="26"/>
        <v>0.16459752684908685</v>
      </c>
      <c r="J37" s="164">
        <f t="shared" si="15"/>
        <v>1.8288614094342924E-2</v>
      </c>
      <c r="K37" s="147">
        <f t="shared" si="16"/>
        <v>2.351393240701246E-2</v>
      </c>
      <c r="L37" s="147">
        <f t="shared" si="17"/>
        <v>2.8378883939497664E-2</v>
      </c>
      <c r="M37" s="147">
        <f t="shared" si="8"/>
        <v>0.1009644195887056</v>
      </c>
      <c r="N37" s="147">
        <f t="shared" si="18"/>
        <v>0.11534334323709899</v>
      </c>
      <c r="O37" s="164">
        <f t="shared" si="23"/>
        <v>0.13614380881112151</v>
      </c>
      <c r="P37" s="147">
        <f t="shared" si="9"/>
        <v>1.1041082141462857E-4</v>
      </c>
      <c r="Q37" s="147">
        <f t="shared" si="10"/>
        <v>1.6217365046669244E-4</v>
      </c>
      <c r="R37" s="147">
        <f t="shared" si="11"/>
        <v>2.3102325586625138E-4</v>
      </c>
      <c r="S37" s="156">
        <f t="shared" si="19"/>
        <v>1.2267869046069801E-3</v>
      </c>
      <c r="T37" s="156">
        <f t="shared" si="12"/>
        <v>2.3167664352384686E-3</v>
      </c>
      <c r="U37" s="165">
        <f t="shared" si="25"/>
        <v>3.9831595839008764E-3</v>
      </c>
      <c r="W37" s="154">
        <f t="shared" si="14"/>
        <v>0.94020532745988006</v>
      </c>
    </row>
    <row r="38" spans="1:23" x14ac:dyDescent="0.25">
      <c r="A38" s="163"/>
      <c r="B38" s="163"/>
      <c r="C38" s="438"/>
      <c r="D38" s="147" t="s">
        <v>206</v>
      </c>
      <c r="E38" s="166">
        <f t="shared" si="20"/>
        <v>7.407407407407371</v>
      </c>
      <c r="F38" s="167">
        <f t="shared" si="21"/>
        <v>10.714285714285747</v>
      </c>
      <c r="G38" s="168">
        <f t="shared" si="22"/>
        <v>13.793103448275822</v>
      </c>
      <c r="H38" s="147">
        <f t="shared" si="26"/>
        <v>5.9794672540119928E-2</v>
      </c>
      <c r="I38" s="164">
        <f t="shared" si="26"/>
        <v>0.16459752684908685</v>
      </c>
      <c r="J38" s="164">
        <f t="shared" si="15"/>
        <v>1.2192409396228596E-2</v>
      </c>
      <c r="K38" s="147">
        <f t="shared" si="16"/>
        <v>1.7635449305259357E-2</v>
      </c>
      <c r="L38" s="147">
        <f t="shared" si="17"/>
        <v>2.270310715159812E-2</v>
      </c>
      <c r="M38" s="147">
        <f t="shared" si="8"/>
        <v>9.492728518119567E-2</v>
      </c>
      <c r="N38" s="147">
        <f t="shared" si="18"/>
        <v>0.108446425798554</v>
      </c>
      <c r="O38" s="164">
        <f t="shared" si="23"/>
        <v>0.1280031343448958</v>
      </c>
      <c r="P38" s="147">
        <f t="shared" si="9"/>
        <v>6.9205895002170018E-5</v>
      </c>
      <c r="Q38" s="147">
        <f t="shared" si="10"/>
        <v>1.1435739760680058E-4</v>
      </c>
      <c r="R38" s="147">
        <f t="shared" si="11"/>
        <v>1.7376743674606113E-4</v>
      </c>
      <c r="S38" s="156">
        <f t="shared" si="19"/>
        <v>5.1263625927533093E-4</v>
      </c>
      <c r="T38" s="156">
        <f t="shared" si="12"/>
        <v>1.2252578315014387E-3</v>
      </c>
      <c r="U38" s="165">
        <f t="shared" si="25"/>
        <v>2.3967922309801465E-3</v>
      </c>
      <c r="W38" s="154">
        <f t="shared" si="14"/>
        <v>0.94020532745988006</v>
      </c>
    </row>
    <row r="39" spans="1:23" x14ac:dyDescent="0.25">
      <c r="A39" s="163"/>
      <c r="B39" s="163"/>
      <c r="C39" s="438"/>
      <c r="D39" s="147" t="s">
        <v>207</v>
      </c>
      <c r="E39" s="166">
        <f t="shared" si="20"/>
        <v>3.7037037037036673</v>
      </c>
      <c r="F39" s="167">
        <f t="shared" si="21"/>
        <v>7.1428571428571761</v>
      </c>
      <c r="G39" s="168">
        <f t="shared" si="22"/>
        <v>10.344827586206858</v>
      </c>
      <c r="H39" s="147">
        <f t="shared" si="26"/>
        <v>5.9794672540119928E-2</v>
      </c>
      <c r="I39" s="164">
        <f t="shared" si="26"/>
        <v>0.16459752684908685</v>
      </c>
      <c r="J39" s="164">
        <f t="shared" si="15"/>
        <v>6.0962046981142678E-3</v>
      </c>
      <c r="K39" s="147">
        <f t="shared" si="16"/>
        <v>1.1756966203506258E-2</v>
      </c>
      <c r="L39" s="147">
        <f t="shared" si="17"/>
        <v>1.7027330363698575E-2</v>
      </c>
      <c r="M39" s="147">
        <f t="shared" si="8"/>
        <v>8.92511392486635E-2</v>
      </c>
      <c r="N39" s="147">
        <f t="shared" si="18"/>
        <v>0.10196190727978305</v>
      </c>
      <c r="O39" s="164">
        <f t="shared" si="23"/>
        <v>0.12034922884263377</v>
      </c>
      <c r="P39" s="147">
        <f t="shared" si="9"/>
        <v>3.2533875586334504E-5</v>
      </c>
      <c r="Q39" s="147">
        <f t="shared" si="10"/>
        <v>7.1679622976241221E-5</v>
      </c>
      <c r="R39" s="147">
        <f t="shared" si="11"/>
        <v>1.2253280232577069E-4</v>
      </c>
      <c r="S39" s="156">
        <f t="shared" si="19"/>
        <v>1.2049583550494143E-4</v>
      </c>
      <c r="T39" s="156">
        <f t="shared" si="12"/>
        <v>5.1199730697315397E-4</v>
      </c>
      <c r="U39" s="165">
        <f t="shared" si="25"/>
        <v>1.2675807137148645E-3</v>
      </c>
      <c r="W39" s="154">
        <f t="shared" si="14"/>
        <v>0.94020532745988006</v>
      </c>
    </row>
    <row r="40" spans="1:23" x14ac:dyDescent="0.25">
      <c r="A40" s="163"/>
      <c r="B40" s="163"/>
      <c r="C40" s="438"/>
      <c r="D40" s="147" t="s">
        <v>208</v>
      </c>
      <c r="E40" s="166">
        <f t="shared" si="20"/>
        <v>-3.6415315207705135E-14</v>
      </c>
      <c r="F40" s="167">
        <f t="shared" si="21"/>
        <v>3.5714285714286045</v>
      </c>
      <c r="G40" s="168">
        <f t="shared" si="22"/>
        <v>6.8965517241378924</v>
      </c>
      <c r="H40" s="147">
        <f t="shared" si="26"/>
        <v>5.9794672540119928E-2</v>
      </c>
      <c r="I40" s="164">
        <f t="shared" si="26"/>
        <v>0.16459752684908685</v>
      </c>
      <c r="J40" s="164">
        <f t="shared" si="15"/>
        <v>-5.9938708226182065E-17</v>
      </c>
      <c r="K40" s="147">
        <f t="shared" si="16"/>
        <v>5.8784831017531557E-3</v>
      </c>
      <c r="L40" s="147">
        <f t="shared" si="17"/>
        <v>1.1351553575799029E-2</v>
      </c>
      <c r="M40" s="147">
        <f t="shared" si="8"/>
        <v>8.3914396603457023E-2</v>
      </c>
      <c r="N40" s="147">
        <f t="shared" si="18"/>
        <v>9.5865128422422355E-2</v>
      </c>
      <c r="O40" s="164">
        <f t="shared" si="23"/>
        <v>0.11315298611353253</v>
      </c>
      <c r="P40" s="147">
        <f t="shared" si="9"/>
        <v>-3.0075049229829312E-19</v>
      </c>
      <c r="Q40" s="147">
        <f t="shared" si="10"/>
        <v>3.3696781696288967E-5</v>
      </c>
      <c r="R40" s="147">
        <f t="shared" si="11"/>
        <v>7.6803995690185171E-5</v>
      </c>
      <c r="S40" s="156">
        <f t="shared" si="19"/>
        <v>1.0951923975914839E-32</v>
      </c>
      <c r="T40" s="156">
        <f t="shared" si="12"/>
        <v>1.2034564891531886E-4</v>
      </c>
      <c r="U40" s="165">
        <f t="shared" si="25"/>
        <v>5.2968272889782585E-4</v>
      </c>
      <c r="W40" s="154">
        <f t="shared" si="14"/>
        <v>0.94020532745988006</v>
      </c>
    </row>
    <row r="41" spans="1:23" x14ac:dyDescent="0.25">
      <c r="A41" s="163"/>
      <c r="B41" s="163"/>
      <c r="C41" s="438"/>
      <c r="D41" s="147" t="s">
        <v>209</v>
      </c>
      <c r="E41" s="166">
        <f t="shared" si="20"/>
        <v>0</v>
      </c>
      <c r="F41" s="167">
        <f t="shared" si="21"/>
        <v>3.2862601528904634E-14</v>
      </c>
      <c r="G41" s="168">
        <f t="shared" si="22"/>
        <v>3.4482758620689271</v>
      </c>
      <c r="H41" s="147">
        <f t="shared" si="26"/>
        <v>5.9794672540119928E-2</v>
      </c>
      <c r="I41" s="164">
        <f t="shared" si="26"/>
        <v>0.16459752684908685</v>
      </c>
      <c r="J41" s="164">
        <f t="shared" si="15"/>
        <v>0</v>
      </c>
      <c r="K41" s="147">
        <f t="shared" si="16"/>
        <v>5.4091029374847233E-17</v>
      </c>
      <c r="L41" s="147">
        <f t="shared" si="17"/>
        <v>5.6757767878994839E-3</v>
      </c>
      <c r="M41" s="147">
        <f t="shared" si="8"/>
        <v>7.8896762737151557E-2</v>
      </c>
      <c r="N41" s="147">
        <f t="shared" si="18"/>
        <v>9.0132904460387062E-2</v>
      </c>
      <c r="O41" s="164">
        <f t="shared" si="23"/>
        <v>0.10638704036193711</v>
      </c>
      <c r="P41" s="147">
        <f t="shared" si="9"/>
        <v>0</v>
      </c>
      <c r="Q41" s="147">
        <f t="shared" si="10"/>
        <v>2.915218452520819E-19</v>
      </c>
      <c r="R41" s="147">
        <f t="shared" si="11"/>
        <v>3.6105762959058691E-5</v>
      </c>
      <c r="S41" s="156">
        <f t="shared" si="19"/>
        <v>0</v>
      </c>
      <c r="T41" s="156">
        <f t="shared" si="12"/>
        <v>9.5801662374901664E-33</v>
      </c>
      <c r="U41" s="165">
        <f t="shared" si="25"/>
        <v>1.2450263089330444E-4</v>
      </c>
      <c r="W41" s="154">
        <f t="shared" si="14"/>
        <v>0.94020532745988006</v>
      </c>
    </row>
    <row r="42" spans="1:23" x14ac:dyDescent="0.25">
      <c r="A42" s="163"/>
      <c r="B42" s="163"/>
      <c r="C42" s="438"/>
      <c r="D42" s="147" t="s">
        <v>210</v>
      </c>
      <c r="E42" s="166">
        <f t="shared" si="20"/>
        <v>0</v>
      </c>
      <c r="F42" s="167">
        <f t="shared" si="21"/>
        <v>0</v>
      </c>
      <c r="G42" s="168">
        <f t="shared" si="22"/>
        <v>-3.8191672047105385E-14</v>
      </c>
      <c r="H42" s="147">
        <f t="shared" si="26"/>
        <v>5.9794672540119928E-2</v>
      </c>
      <c r="I42" s="164">
        <f t="shared" si="26"/>
        <v>0.16459752684908685</v>
      </c>
      <c r="J42" s="164">
        <f t="shared" si="15"/>
        <v>0</v>
      </c>
      <c r="K42" s="147">
        <f t="shared" si="16"/>
        <v>0</v>
      </c>
      <c r="L42" s="147">
        <f t="shared" si="17"/>
        <v>-6.2862547651849485E-17</v>
      </c>
      <c r="M42" s="147">
        <f t="shared" si="8"/>
        <v>7.4179156644808036E-2</v>
      </c>
      <c r="N42" s="147">
        <f t="shared" si="18"/>
        <v>8.4743436953088308E-2</v>
      </c>
      <c r="O42" s="164">
        <f t="shared" si="23"/>
        <v>0.10002566212098256</v>
      </c>
      <c r="P42" s="147">
        <f t="shared" si="9"/>
        <v>0</v>
      </c>
      <c r="Q42" s="147">
        <f t="shared" si="10"/>
        <v>0</v>
      </c>
      <c r="R42" s="147">
        <f t="shared" si="11"/>
        <v>-3.7598100513474334E-19</v>
      </c>
      <c r="S42" s="156">
        <f t="shared" si="19"/>
        <v>0</v>
      </c>
      <c r="T42" s="156">
        <f t="shared" si="12"/>
        <v>0</v>
      </c>
      <c r="U42" s="165">
        <f t="shared" si="25"/>
        <v>1.4359343244047163E-32</v>
      </c>
      <c r="W42" s="154">
        <f t="shared" si="14"/>
        <v>0.94020532745988006</v>
      </c>
    </row>
    <row r="43" spans="1:23" x14ac:dyDescent="0.25">
      <c r="A43" s="163"/>
      <c r="B43" s="163"/>
      <c r="C43" s="438"/>
      <c r="D43" s="147" t="s">
        <v>211</v>
      </c>
      <c r="E43" s="166">
        <f t="shared" si="20"/>
        <v>0</v>
      </c>
      <c r="F43" s="167">
        <f t="shared" si="21"/>
        <v>0</v>
      </c>
      <c r="G43" s="168">
        <f t="shared" si="22"/>
        <v>0</v>
      </c>
      <c r="H43" s="147">
        <f t="shared" si="26"/>
        <v>5.9794672540119928E-2</v>
      </c>
      <c r="I43" s="164">
        <f t="shared" si="26"/>
        <v>0.16459752684908685</v>
      </c>
      <c r="J43" s="164">
        <f t="shared" si="15"/>
        <v>0</v>
      </c>
      <c r="K43" s="147">
        <f t="shared" si="16"/>
        <v>0</v>
      </c>
      <c r="L43" s="147">
        <f t="shared" si="17"/>
        <v>0</v>
      </c>
      <c r="M43" s="147">
        <f t="shared" si="8"/>
        <v>6.9743638263929472E-2</v>
      </c>
      <c r="N43" s="147">
        <f t="shared" si="18"/>
        <v>7.9676230890554089E-2</v>
      </c>
      <c r="O43" s="164">
        <f t="shared" si="23"/>
        <v>9.4044660408849734E-2</v>
      </c>
      <c r="P43" s="147">
        <f t="shared" si="9"/>
        <v>0</v>
      </c>
      <c r="Q43" s="147">
        <f t="shared" si="10"/>
        <v>0</v>
      </c>
      <c r="R43" s="147">
        <f t="shared" si="11"/>
        <v>0</v>
      </c>
      <c r="S43" s="156">
        <f t="shared" si="19"/>
        <v>0</v>
      </c>
      <c r="T43" s="156">
        <f t="shared" si="12"/>
        <v>0</v>
      </c>
      <c r="U43" s="165">
        <f t="shared" si="25"/>
        <v>0</v>
      </c>
      <c r="W43" s="154">
        <f t="shared" si="14"/>
        <v>0.94020532745988006</v>
      </c>
    </row>
    <row r="44" spans="1:23" x14ac:dyDescent="0.25">
      <c r="A44" s="163"/>
      <c r="B44" s="163"/>
      <c r="C44" s="438"/>
      <c r="D44" s="147" t="s">
        <v>212</v>
      </c>
      <c r="E44" s="166">
        <f t="shared" si="20"/>
        <v>0</v>
      </c>
      <c r="F44" s="167">
        <f t="shared" si="21"/>
        <v>0</v>
      </c>
      <c r="G44" s="168">
        <f t="shared" si="22"/>
        <v>0</v>
      </c>
      <c r="H44" s="147">
        <f t="shared" si="26"/>
        <v>5.9794672540119928E-2</v>
      </c>
      <c r="I44" s="164">
        <f t="shared" si="26"/>
        <v>0.16459752684908685</v>
      </c>
      <c r="J44" s="164">
        <f t="shared" si="15"/>
        <v>0</v>
      </c>
      <c r="K44" s="147">
        <f t="shared" si="16"/>
        <v>0</v>
      </c>
      <c r="L44" s="147">
        <f t="shared" si="17"/>
        <v>0</v>
      </c>
      <c r="M44" s="147">
        <f t="shared" si="8"/>
        <v>6.5573340252181228E-2</v>
      </c>
      <c r="N44" s="147">
        <f t="shared" si="18"/>
        <v>7.4912016755222424E-2</v>
      </c>
      <c r="O44" s="164">
        <f t="shared" si="23"/>
        <v>8.8421290735555783E-2</v>
      </c>
      <c r="P44" s="147">
        <f t="shared" si="9"/>
        <v>0</v>
      </c>
      <c r="Q44" s="147">
        <f t="shared" si="10"/>
        <v>0</v>
      </c>
      <c r="R44" s="147">
        <f t="shared" si="11"/>
        <v>0</v>
      </c>
      <c r="S44" s="156">
        <f t="shared" si="19"/>
        <v>0</v>
      </c>
      <c r="T44" s="156">
        <f t="shared" si="12"/>
        <v>0</v>
      </c>
      <c r="U44" s="165">
        <f t="shared" si="25"/>
        <v>0</v>
      </c>
      <c r="W44" s="154">
        <f t="shared" si="14"/>
        <v>0.94020532745988006</v>
      </c>
    </row>
    <row r="45" spans="1:23" x14ac:dyDescent="0.25">
      <c r="A45" s="163"/>
      <c r="B45" s="163"/>
      <c r="C45" s="438"/>
      <c r="D45" s="147" t="s">
        <v>213</v>
      </c>
      <c r="E45" s="166">
        <f t="shared" si="20"/>
        <v>0</v>
      </c>
      <c r="F45" s="167">
        <f t="shared" si="21"/>
        <v>0</v>
      </c>
      <c r="G45" s="168">
        <f t="shared" si="22"/>
        <v>0</v>
      </c>
      <c r="H45" s="147">
        <f t="shared" si="26"/>
        <v>5.9794672540119928E-2</v>
      </c>
      <c r="I45" s="164">
        <f t="shared" si="26"/>
        <v>0.16459752684908685</v>
      </c>
      <c r="J45" s="164">
        <f t="shared" si="15"/>
        <v>0</v>
      </c>
      <c r="K45" s="147">
        <f t="shared" si="16"/>
        <v>0</v>
      </c>
      <c r="L45" s="147">
        <f t="shared" si="17"/>
        <v>0</v>
      </c>
      <c r="M45" s="147">
        <f t="shared" si="8"/>
        <v>6.1652403844440186E-2</v>
      </c>
      <c r="N45" s="147">
        <f t="shared" si="18"/>
        <v>7.0432677244023925E-2</v>
      </c>
      <c r="O45" s="164">
        <f t="shared" si="23"/>
        <v>8.3134168610448478E-2</v>
      </c>
      <c r="P45" s="147">
        <f t="shared" si="9"/>
        <v>0</v>
      </c>
      <c r="Q45" s="147">
        <f t="shared" si="10"/>
        <v>0</v>
      </c>
      <c r="R45" s="147">
        <f t="shared" si="11"/>
        <v>0</v>
      </c>
      <c r="S45" s="156">
        <f t="shared" si="19"/>
        <v>0</v>
      </c>
      <c r="T45" s="156">
        <f t="shared" si="12"/>
        <v>0</v>
      </c>
      <c r="U45" s="165">
        <f t="shared" si="25"/>
        <v>0</v>
      </c>
      <c r="W45" s="154">
        <f t="shared" si="14"/>
        <v>0.94020532745988006</v>
      </c>
    </row>
    <row r="46" spans="1:23" x14ac:dyDescent="0.25">
      <c r="A46" s="163"/>
      <c r="B46" s="163"/>
      <c r="C46" s="438"/>
      <c r="D46" s="147" t="s">
        <v>214</v>
      </c>
      <c r="E46" s="166">
        <f t="shared" si="20"/>
        <v>0</v>
      </c>
      <c r="F46" s="167">
        <f t="shared" si="21"/>
        <v>0</v>
      </c>
      <c r="G46" s="168">
        <f t="shared" si="22"/>
        <v>0</v>
      </c>
      <c r="H46" s="147">
        <f t="shared" si="26"/>
        <v>5.9794672540119928E-2</v>
      </c>
      <c r="I46" s="164">
        <f t="shared" si="26"/>
        <v>0.16459752684908685</v>
      </c>
      <c r="J46" s="164">
        <f t="shared" si="15"/>
        <v>0</v>
      </c>
      <c r="K46" s="147">
        <f t="shared" si="16"/>
        <v>0</v>
      </c>
      <c r="L46" s="147">
        <f t="shared" si="17"/>
        <v>0</v>
      </c>
      <c r="M46" s="147">
        <f t="shared" si="8"/>
        <v>5.7965918545250655E-2</v>
      </c>
      <c r="N46" s="147">
        <f t="shared" si="18"/>
        <v>6.6221178372093556E-2</v>
      </c>
      <c r="O46" s="164">
        <f t="shared" si="23"/>
        <v>7.8163188221491597E-2</v>
      </c>
      <c r="P46" s="147">
        <f t="shared" si="9"/>
        <v>0</v>
      </c>
      <c r="Q46" s="147">
        <f t="shared" si="10"/>
        <v>0</v>
      </c>
      <c r="R46" s="147">
        <f t="shared" si="11"/>
        <v>0</v>
      </c>
      <c r="S46" s="156">
        <f t="shared" si="19"/>
        <v>0</v>
      </c>
      <c r="T46" s="156">
        <f t="shared" si="12"/>
        <v>0</v>
      </c>
      <c r="U46" s="165">
        <f t="shared" si="25"/>
        <v>0</v>
      </c>
      <c r="W46" s="154">
        <f t="shared" si="14"/>
        <v>0.94020532745988006</v>
      </c>
    </row>
    <row r="47" spans="1:23" x14ac:dyDescent="0.25">
      <c r="A47" s="163"/>
      <c r="B47" s="163"/>
      <c r="C47" s="438"/>
      <c r="D47" s="147" t="s">
        <v>215</v>
      </c>
      <c r="E47" s="166">
        <f t="shared" si="20"/>
        <v>0</v>
      </c>
      <c r="F47" s="167">
        <f t="shared" si="21"/>
        <v>0</v>
      </c>
      <c r="G47" s="168">
        <f t="shared" si="22"/>
        <v>0</v>
      </c>
      <c r="H47" s="147">
        <f t="shared" si="26"/>
        <v>5.9794672540119928E-2</v>
      </c>
      <c r="I47" s="164">
        <f t="shared" si="26"/>
        <v>0.16459752684908685</v>
      </c>
      <c r="J47" s="164">
        <f t="shared" si="15"/>
        <v>0</v>
      </c>
      <c r="K47" s="147">
        <f t="shared" si="16"/>
        <v>0</v>
      </c>
      <c r="L47" s="147">
        <f t="shared" si="17"/>
        <v>0</v>
      </c>
      <c r="M47" s="147">
        <f t="shared" si="8"/>
        <v>5.4499865427350129E-2</v>
      </c>
      <c r="N47" s="147">
        <f t="shared" si="18"/>
        <v>6.226150469611335E-2</v>
      </c>
      <c r="O47" s="164">
        <f t="shared" si="23"/>
        <v>7.3489445977095752E-2</v>
      </c>
      <c r="P47" s="147">
        <f t="shared" si="9"/>
        <v>0</v>
      </c>
      <c r="Q47" s="147">
        <f t="shared" si="10"/>
        <v>0</v>
      </c>
      <c r="R47" s="147">
        <f t="shared" si="11"/>
        <v>0</v>
      </c>
      <c r="S47" s="156">
        <f t="shared" si="19"/>
        <v>0</v>
      </c>
      <c r="T47" s="156">
        <f t="shared" si="12"/>
        <v>0</v>
      </c>
      <c r="U47" s="165">
        <f t="shared" si="25"/>
        <v>0</v>
      </c>
      <c r="W47" s="154">
        <f t="shared" si="14"/>
        <v>0.94020532745988006</v>
      </c>
    </row>
    <row r="48" spans="1:23" x14ac:dyDescent="0.25">
      <c r="A48" s="163"/>
      <c r="B48" s="163"/>
      <c r="C48" s="438"/>
      <c r="D48" s="147" t="s">
        <v>216</v>
      </c>
      <c r="E48" s="166">
        <f t="shared" si="20"/>
        <v>0</v>
      </c>
      <c r="F48" s="167">
        <f t="shared" si="21"/>
        <v>0</v>
      </c>
      <c r="G48" s="168">
        <f t="shared" si="22"/>
        <v>0</v>
      </c>
      <c r="H48" s="147">
        <f t="shared" si="26"/>
        <v>5.9794672540119928E-2</v>
      </c>
      <c r="I48" s="164">
        <f t="shared" si="26"/>
        <v>0.16459752684908685</v>
      </c>
      <c r="J48" s="164">
        <f t="shared" si="15"/>
        <v>0</v>
      </c>
      <c r="K48" s="147">
        <f t="shared" si="16"/>
        <v>0</v>
      </c>
      <c r="L48" s="147">
        <f t="shared" si="17"/>
        <v>0</v>
      </c>
      <c r="M48" s="147">
        <f t="shared" si="8"/>
        <v>5.1241063820641121E-2</v>
      </c>
      <c r="N48" s="147">
        <f t="shared" si="18"/>
        <v>5.8538598410954115E-2</v>
      </c>
      <c r="O48" s="164">
        <f t="shared" si="23"/>
        <v>6.909516861974048E-2</v>
      </c>
      <c r="P48" s="147">
        <f t="shared" si="9"/>
        <v>0</v>
      </c>
      <c r="Q48" s="147">
        <f t="shared" si="10"/>
        <v>0</v>
      </c>
      <c r="R48" s="147">
        <f t="shared" si="11"/>
        <v>0</v>
      </c>
      <c r="S48" s="156">
        <f t="shared" si="19"/>
        <v>0</v>
      </c>
      <c r="T48" s="156">
        <f t="shared" si="12"/>
        <v>0</v>
      </c>
      <c r="U48" s="165">
        <f t="shared" si="25"/>
        <v>0</v>
      </c>
      <c r="W48" s="154">
        <f t="shared" si="14"/>
        <v>0.94020532745988006</v>
      </c>
    </row>
    <row r="49" spans="1:23" x14ac:dyDescent="0.25">
      <c r="A49" s="163"/>
      <c r="B49" s="163"/>
      <c r="C49" s="438"/>
      <c r="D49" s="147" t="s">
        <v>217</v>
      </c>
      <c r="E49" s="166">
        <f t="shared" si="20"/>
        <v>0</v>
      </c>
      <c r="F49" s="167">
        <f t="shared" si="21"/>
        <v>0</v>
      </c>
      <c r="G49" s="168">
        <f t="shared" si="22"/>
        <v>0</v>
      </c>
      <c r="H49" s="147">
        <f t="shared" si="26"/>
        <v>5.9794672540119928E-2</v>
      </c>
      <c r="I49" s="164">
        <f t="shared" si="26"/>
        <v>0.16459752684908685</v>
      </c>
      <c r="J49" s="164">
        <f t="shared" si="15"/>
        <v>0</v>
      </c>
      <c r="K49" s="147">
        <f t="shared" si="16"/>
        <v>0</v>
      </c>
      <c r="L49" s="147">
        <f t="shared" si="17"/>
        <v>0</v>
      </c>
      <c r="M49" s="147">
        <f t="shared" si="8"/>
        <v>4.8177121188878499E-2</v>
      </c>
      <c r="N49" s="147">
        <f t="shared" si="18"/>
        <v>5.5038302088013531E-2</v>
      </c>
      <c r="O49" s="164">
        <f t="shared" si="23"/>
        <v>6.4963645638018722E-2</v>
      </c>
      <c r="P49" s="147">
        <f t="shared" si="9"/>
        <v>0</v>
      </c>
      <c r="Q49" s="147">
        <f t="shared" si="10"/>
        <v>0</v>
      </c>
      <c r="R49" s="147">
        <f t="shared" si="11"/>
        <v>0</v>
      </c>
      <c r="S49" s="156">
        <f t="shared" si="19"/>
        <v>0</v>
      </c>
      <c r="T49" s="156">
        <f t="shared" si="12"/>
        <v>0</v>
      </c>
      <c r="U49" s="165">
        <f t="shared" si="25"/>
        <v>0</v>
      </c>
      <c r="W49" s="154">
        <f t="shared" si="14"/>
        <v>0.94020532745988006</v>
      </c>
    </row>
    <row r="50" spans="1:23" x14ac:dyDescent="0.25">
      <c r="A50" s="163"/>
      <c r="B50" s="163"/>
      <c r="C50" s="438"/>
      <c r="D50" s="147" t="s">
        <v>218</v>
      </c>
      <c r="E50" s="166">
        <f t="shared" si="20"/>
        <v>0</v>
      </c>
      <c r="F50" s="167">
        <f t="shared" si="21"/>
        <v>0</v>
      </c>
      <c r="G50" s="168">
        <f t="shared" si="22"/>
        <v>0</v>
      </c>
      <c r="H50" s="147">
        <f t="shared" si="26"/>
        <v>5.9794672540119928E-2</v>
      </c>
      <c r="I50" s="164">
        <f t="shared" si="26"/>
        <v>0.16459752684908685</v>
      </c>
      <c r="J50" s="164">
        <f t="shared" si="15"/>
        <v>0</v>
      </c>
      <c r="K50" s="147">
        <f t="shared" si="16"/>
        <v>0</v>
      </c>
      <c r="L50" s="147">
        <f t="shared" si="17"/>
        <v>0</v>
      </c>
      <c r="M50" s="147">
        <f t="shared" si="8"/>
        <v>4.5296386003463834E-2</v>
      </c>
      <c r="N50" s="147">
        <f t="shared" si="18"/>
        <v>5.1747304837496559E-2</v>
      </c>
      <c r="O50" s="164">
        <f t="shared" si="23"/>
        <v>6.1079165720081E-2</v>
      </c>
      <c r="P50" s="147">
        <f t="shared" si="9"/>
        <v>0</v>
      </c>
      <c r="Q50" s="147">
        <f t="shared" si="10"/>
        <v>0</v>
      </c>
      <c r="R50" s="147">
        <f t="shared" si="11"/>
        <v>0</v>
      </c>
      <c r="S50" s="156">
        <f t="shared" si="19"/>
        <v>0</v>
      </c>
      <c r="T50" s="156">
        <f t="shared" si="12"/>
        <v>0</v>
      </c>
      <c r="U50" s="165">
        <f t="shared" si="25"/>
        <v>0</v>
      </c>
      <c r="W50" s="154">
        <f t="shared" si="14"/>
        <v>0.94020532745988006</v>
      </c>
    </row>
    <row r="51" spans="1:23" x14ac:dyDescent="0.25">
      <c r="A51" s="163"/>
      <c r="B51" s="163"/>
      <c r="C51" s="438"/>
      <c r="D51" s="147" t="s">
        <v>219</v>
      </c>
      <c r="E51" s="166">
        <f t="shared" si="20"/>
        <v>0</v>
      </c>
      <c r="F51" s="167">
        <f t="shared" si="21"/>
        <v>0</v>
      </c>
      <c r="G51" s="168">
        <f t="shared" si="22"/>
        <v>0</v>
      </c>
      <c r="H51" s="147">
        <f t="shared" si="26"/>
        <v>5.9794672540119928E-2</v>
      </c>
      <c r="I51" s="164">
        <f t="shared" si="26"/>
        <v>0.16459752684908685</v>
      </c>
      <c r="J51" s="164">
        <f t="shared" si="15"/>
        <v>0</v>
      </c>
      <c r="K51" s="147">
        <f t="shared" si="16"/>
        <v>0</v>
      </c>
      <c r="L51" s="147">
        <f t="shared" si="17"/>
        <v>0</v>
      </c>
      <c r="M51" s="147">
        <f t="shared" si="8"/>
        <v>4.258790343513584E-2</v>
      </c>
      <c r="N51" s="147">
        <f t="shared" si="18"/>
        <v>4.8653091689904684E-2</v>
      </c>
      <c r="O51" s="164">
        <f t="shared" si="23"/>
        <v>5.7426957006825034E-2</v>
      </c>
      <c r="P51" s="147">
        <f t="shared" si="9"/>
        <v>0</v>
      </c>
      <c r="Q51" s="147">
        <f t="shared" si="10"/>
        <v>0</v>
      </c>
      <c r="R51" s="147">
        <f t="shared" si="11"/>
        <v>0</v>
      </c>
      <c r="S51" s="156">
        <f t="shared" si="19"/>
        <v>0</v>
      </c>
      <c r="T51" s="156">
        <f t="shared" si="12"/>
        <v>0</v>
      </c>
      <c r="U51" s="165">
        <f t="shared" si="25"/>
        <v>0</v>
      </c>
      <c r="W51" s="154">
        <f t="shared" si="14"/>
        <v>0.94020532745988006</v>
      </c>
    </row>
    <row r="52" spans="1:23" x14ac:dyDescent="0.25">
      <c r="A52" s="163"/>
      <c r="B52" s="163"/>
      <c r="C52" s="438"/>
      <c r="D52" s="147" t="s">
        <v>220</v>
      </c>
      <c r="E52" s="166">
        <f t="shared" si="20"/>
        <v>0</v>
      </c>
      <c r="F52" s="167">
        <f t="shared" si="21"/>
        <v>0</v>
      </c>
      <c r="G52" s="168">
        <f t="shared" si="22"/>
        <v>0</v>
      </c>
      <c r="H52" s="147">
        <f t="shared" si="26"/>
        <v>5.9794672540119928E-2</v>
      </c>
      <c r="I52" s="164">
        <f t="shared" si="26"/>
        <v>0.16459752684908685</v>
      </c>
      <c r="J52" s="164">
        <f t="shared" si="15"/>
        <v>0</v>
      </c>
      <c r="K52" s="147">
        <f t="shared" si="16"/>
        <v>0</v>
      </c>
      <c r="L52" s="147">
        <f t="shared" si="17"/>
        <v>0</v>
      </c>
      <c r="M52" s="147">
        <f t="shared" si="8"/>
        <v>4.0041373695061645E-2</v>
      </c>
      <c r="N52" s="147">
        <f t="shared" si="18"/>
        <v>4.5743896004242404E-2</v>
      </c>
      <c r="O52" s="164">
        <f t="shared" si="23"/>
        <v>5.3993130917626385E-2</v>
      </c>
      <c r="P52" s="147">
        <f t="shared" si="9"/>
        <v>0</v>
      </c>
      <c r="Q52" s="147">
        <f t="shared" si="10"/>
        <v>0</v>
      </c>
      <c r="R52" s="147">
        <f t="shared" si="11"/>
        <v>0</v>
      </c>
      <c r="S52" s="156">
        <f t="shared" si="19"/>
        <v>0</v>
      </c>
      <c r="T52" s="156">
        <f t="shared" si="12"/>
        <v>0</v>
      </c>
      <c r="U52" s="165">
        <f t="shared" si="25"/>
        <v>0</v>
      </c>
      <c r="W52" s="154">
        <f t="shared" si="14"/>
        <v>0.94020532745988006</v>
      </c>
    </row>
    <row r="53" spans="1:23" x14ac:dyDescent="0.25">
      <c r="A53" s="163"/>
      <c r="B53" s="163"/>
      <c r="C53" s="438"/>
      <c r="D53" s="147" t="s">
        <v>221</v>
      </c>
      <c r="E53" s="166">
        <f t="shared" si="20"/>
        <v>0</v>
      </c>
      <c r="F53" s="167">
        <f t="shared" si="21"/>
        <v>0</v>
      </c>
      <c r="G53" s="168">
        <f t="shared" si="22"/>
        <v>0</v>
      </c>
      <c r="H53" s="147">
        <f t="shared" ref="H53:I59" si="27">H52</f>
        <v>5.9794672540119928E-2</v>
      </c>
      <c r="I53" s="164">
        <f t="shared" si="27"/>
        <v>0.16459752684908685</v>
      </c>
      <c r="J53" s="164">
        <f t="shared" si="15"/>
        <v>0</v>
      </c>
      <c r="K53" s="147">
        <f t="shared" si="16"/>
        <v>0</v>
      </c>
      <c r="L53" s="147">
        <f t="shared" si="17"/>
        <v>0</v>
      </c>
      <c r="M53" s="147">
        <f t="shared" si="8"/>
        <v>3.7647112866908861E-2</v>
      </c>
      <c r="N53" s="147">
        <f t="shared" si="18"/>
        <v>4.300865472195943E-2</v>
      </c>
      <c r="O53" s="164">
        <f t="shared" si="23"/>
        <v>5.0764629334991089E-2</v>
      </c>
      <c r="P53" s="147">
        <f t="shared" si="9"/>
        <v>0</v>
      </c>
      <c r="Q53" s="147">
        <f t="shared" si="10"/>
        <v>0</v>
      </c>
      <c r="R53" s="147">
        <f t="shared" si="11"/>
        <v>0</v>
      </c>
      <c r="S53" s="156">
        <f t="shared" si="19"/>
        <v>0</v>
      </c>
      <c r="T53" s="156">
        <f t="shared" si="12"/>
        <v>0</v>
      </c>
      <c r="U53" s="165">
        <f t="shared" si="25"/>
        <v>0</v>
      </c>
      <c r="W53" s="154">
        <f t="shared" si="14"/>
        <v>0.94020532745988006</v>
      </c>
    </row>
    <row r="54" spans="1:23" x14ac:dyDescent="0.25">
      <c r="A54" s="163"/>
      <c r="B54" s="163"/>
      <c r="C54" s="438"/>
      <c r="D54" s="147" t="s">
        <v>222</v>
      </c>
      <c r="E54" s="166">
        <f t="shared" si="20"/>
        <v>0</v>
      </c>
      <c r="F54" s="167">
        <f t="shared" si="21"/>
        <v>0</v>
      </c>
      <c r="G54" s="168">
        <f t="shared" si="22"/>
        <v>0</v>
      </c>
      <c r="H54" s="147">
        <f t="shared" si="27"/>
        <v>5.9794672540119928E-2</v>
      </c>
      <c r="I54" s="164">
        <f t="shared" si="27"/>
        <v>0.16459752684908685</v>
      </c>
      <c r="J54" s="164">
        <f t="shared" si="15"/>
        <v>0</v>
      </c>
      <c r="K54" s="147">
        <f t="shared" si="16"/>
        <v>0</v>
      </c>
      <c r="L54" s="147">
        <f t="shared" si="17"/>
        <v>0</v>
      </c>
      <c r="M54" s="147">
        <f t="shared" si="8"/>
        <v>3.5396016080951109E-2</v>
      </c>
      <c r="N54" s="147">
        <f t="shared" si="18"/>
        <v>4.0436966296468785E-2</v>
      </c>
      <c r="O54" s="164">
        <f t="shared" si="23"/>
        <v>4.7729174947284729E-2</v>
      </c>
      <c r="P54" s="147">
        <f t="shared" si="9"/>
        <v>0</v>
      </c>
      <c r="Q54" s="147">
        <f t="shared" si="10"/>
        <v>0</v>
      </c>
      <c r="R54" s="147">
        <f t="shared" si="11"/>
        <v>0</v>
      </c>
      <c r="S54" s="156">
        <f t="shared" si="19"/>
        <v>0</v>
      </c>
      <c r="T54" s="156">
        <f t="shared" si="12"/>
        <v>0</v>
      </c>
      <c r="U54" s="165">
        <f t="shared" si="25"/>
        <v>0</v>
      </c>
      <c r="W54" s="154">
        <f t="shared" si="14"/>
        <v>0.94020532745988006</v>
      </c>
    </row>
    <row r="55" spans="1:23" x14ac:dyDescent="0.25">
      <c r="A55" s="163"/>
      <c r="B55" s="163"/>
      <c r="C55" s="438"/>
      <c r="D55" s="147" t="s">
        <v>223</v>
      </c>
      <c r="E55" s="166">
        <f t="shared" si="20"/>
        <v>0</v>
      </c>
      <c r="F55" s="167">
        <f t="shared" si="21"/>
        <v>0</v>
      </c>
      <c r="G55" s="168">
        <f t="shared" si="22"/>
        <v>0</v>
      </c>
      <c r="H55" s="147">
        <f t="shared" si="27"/>
        <v>5.9794672540119928E-2</v>
      </c>
      <c r="I55" s="164">
        <f t="shared" si="27"/>
        <v>0.16459752684908685</v>
      </c>
      <c r="J55" s="164">
        <f t="shared" si="15"/>
        <v>0</v>
      </c>
      <c r="K55" s="147">
        <f t="shared" si="16"/>
        <v>0</v>
      </c>
      <c r="L55" s="147">
        <f t="shared" si="17"/>
        <v>0</v>
      </c>
      <c r="M55" s="147">
        <f t="shared" si="8"/>
        <v>3.3279522890165815E-2</v>
      </c>
      <c r="N55" s="147">
        <f t="shared" si="18"/>
        <v>3.8019051138255565E-2</v>
      </c>
      <c r="O55" s="164">
        <f t="shared" si="23"/>
        <v>4.487522456070174E-2</v>
      </c>
      <c r="P55" s="147">
        <f t="shared" si="9"/>
        <v>0</v>
      </c>
      <c r="Q55" s="147">
        <f t="shared" si="10"/>
        <v>0</v>
      </c>
      <c r="R55" s="147">
        <f t="shared" si="11"/>
        <v>0</v>
      </c>
      <c r="S55" s="156">
        <f t="shared" si="19"/>
        <v>0</v>
      </c>
      <c r="T55" s="156">
        <f t="shared" si="12"/>
        <v>0</v>
      </c>
      <c r="U55" s="165">
        <f t="shared" si="25"/>
        <v>0</v>
      </c>
      <c r="W55" s="154">
        <f t="shared" si="14"/>
        <v>0.94020532745988006</v>
      </c>
    </row>
    <row r="56" spans="1:23" x14ac:dyDescent="0.25">
      <c r="A56" s="163"/>
      <c r="B56" s="163"/>
      <c r="C56" s="438"/>
      <c r="D56" s="147" t="s">
        <v>224</v>
      </c>
      <c r="E56" s="166">
        <f t="shared" si="20"/>
        <v>0</v>
      </c>
      <c r="F56" s="167">
        <f t="shared" si="21"/>
        <v>0</v>
      </c>
      <c r="G56" s="168">
        <f t="shared" si="22"/>
        <v>0</v>
      </c>
      <c r="H56" s="147">
        <f t="shared" si="27"/>
        <v>5.9794672540119928E-2</v>
      </c>
      <c r="I56" s="164">
        <f t="shared" si="27"/>
        <v>0.16459752684908685</v>
      </c>
      <c r="J56" s="164">
        <f t="shared" si="15"/>
        <v>0</v>
      </c>
      <c r="K56" s="147">
        <f t="shared" si="16"/>
        <v>0</v>
      </c>
      <c r="L56" s="147">
        <f t="shared" si="17"/>
        <v>0</v>
      </c>
      <c r="M56" s="147">
        <f t="shared" si="8"/>
        <v>3.1289584716656924E-2</v>
      </c>
      <c r="N56" s="147">
        <f t="shared" si="18"/>
        <v>3.5745714425157497E-2</v>
      </c>
      <c r="O56" s="164">
        <f t="shared" si="23"/>
        <v>4.2191925202930233E-2</v>
      </c>
      <c r="P56" s="147">
        <f t="shared" si="9"/>
        <v>0</v>
      </c>
      <c r="Q56" s="147">
        <f t="shared" si="10"/>
        <v>0</v>
      </c>
      <c r="R56" s="147">
        <f t="shared" si="11"/>
        <v>0</v>
      </c>
      <c r="S56" s="156">
        <f t="shared" si="19"/>
        <v>0</v>
      </c>
      <c r="T56" s="156">
        <f t="shared" si="12"/>
        <v>0</v>
      </c>
      <c r="U56" s="165">
        <f t="shared" si="25"/>
        <v>0</v>
      </c>
      <c r="W56" s="154">
        <f t="shared" si="14"/>
        <v>0.94020532745988006</v>
      </c>
    </row>
    <row r="57" spans="1:23" x14ac:dyDescent="0.25">
      <c r="A57" s="163"/>
      <c r="B57" s="163"/>
      <c r="C57" s="438"/>
      <c r="D57" s="147" t="s">
        <v>225</v>
      </c>
      <c r="E57" s="166">
        <f t="shared" si="20"/>
        <v>0</v>
      </c>
      <c r="F57" s="167">
        <f t="shared" si="21"/>
        <v>0</v>
      </c>
      <c r="G57" s="168">
        <f t="shared" si="22"/>
        <v>0</v>
      </c>
      <c r="H57" s="147">
        <f t="shared" si="27"/>
        <v>5.9794672540119928E-2</v>
      </c>
      <c r="I57" s="164">
        <f t="shared" si="27"/>
        <v>0.16459752684908685</v>
      </c>
      <c r="J57" s="164">
        <f t="shared" si="15"/>
        <v>0</v>
      </c>
      <c r="K57" s="147">
        <f t="shared" si="16"/>
        <v>0</v>
      </c>
      <c r="L57" s="147">
        <f t="shared" si="17"/>
        <v>0</v>
      </c>
      <c r="M57" s="147">
        <f t="shared" si="8"/>
        <v>2.9418634244608083E-2</v>
      </c>
      <c r="N57" s="147">
        <f t="shared" si="18"/>
        <v>3.3608311136392566E-2</v>
      </c>
      <c r="O57" s="164">
        <f t="shared" si="23"/>
        <v>3.9669072851583789E-2</v>
      </c>
      <c r="P57" s="147">
        <f t="shared" si="9"/>
        <v>0</v>
      </c>
      <c r="Q57" s="147">
        <f t="shared" si="10"/>
        <v>0</v>
      </c>
      <c r="R57" s="147">
        <f t="shared" si="11"/>
        <v>0</v>
      </c>
      <c r="S57" s="156">
        <f t="shared" si="19"/>
        <v>0</v>
      </c>
      <c r="T57" s="156">
        <f t="shared" si="12"/>
        <v>0</v>
      </c>
      <c r="U57" s="165">
        <f t="shared" si="25"/>
        <v>0</v>
      </c>
      <c r="W57" s="154">
        <f t="shared" si="14"/>
        <v>0.94020532745988006</v>
      </c>
    </row>
    <row r="58" spans="1:23" x14ac:dyDescent="0.25">
      <c r="A58" s="163"/>
      <c r="B58" s="163"/>
      <c r="C58" s="438"/>
      <c r="D58" s="147" t="s">
        <v>226</v>
      </c>
      <c r="E58" s="166">
        <f t="shared" si="20"/>
        <v>0</v>
      </c>
      <c r="F58" s="167">
        <f t="shared" si="21"/>
        <v>0</v>
      </c>
      <c r="G58" s="168">
        <f t="shared" si="22"/>
        <v>0</v>
      </c>
      <c r="H58" s="147">
        <f t="shared" si="27"/>
        <v>5.9794672540119928E-2</v>
      </c>
      <c r="I58" s="164">
        <f t="shared" si="27"/>
        <v>0.16459752684908685</v>
      </c>
      <c r="J58" s="164">
        <f t="shared" si="15"/>
        <v>0</v>
      </c>
      <c r="K58" s="147">
        <f t="shared" si="16"/>
        <v>0</v>
      </c>
      <c r="L58" s="147">
        <f t="shared" si="17"/>
        <v>0</v>
      </c>
      <c r="M58" s="147">
        <f t="shared" si="8"/>
        <v>2.7659556643374182E-2</v>
      </c>
      <c r="N58" s="147">
        <f t="shared" si="18"/>
        <v>3.1598713177365505E-2</v>
      </c>
      <c r="O58" s="164">
        <f t="shared" si="23"/>
        <v>3.7297073630453176E-2</v>
      </c>
      <c r="P58" s="147">
        <f t="shared" si="9"/>
        <v>0</v>
      </c>
      <c r="Q58" s="147">
        <f t="shared" si="10"/>
        <v>0</v>
      </c>
      <c r="R58" s="147">
        <f t="shared" si="11"/>
        <v>0</v>
      </c>
      <c r="S58" s="156">
        <f t="shared" si="19"/>
        <v>0</v>
      </c>
      <c r="T58" s="156">
        <f t="shared" si="12"/>
        <v>0</v>
      </c>
      <c r="U58" s="165">
        <f t="shared" si="25"/>
        <v>0</v>
      </c>
      <c r="W58" s="154">
        <f t="shared" si="14"/>
        <v>0.94020532745988006</v>
      </c>
    </row>
    <row r="59" spans="1:23" x14ac:dyDescent="0.25">
      <c r="A59" s="163"/>
      <c r="B59" s="163"/>
      <c r="C59" s="438"/>
      <c r="D59" s="147" t="s">
        <v>227</v>
      </c>
      <c r="E59" s="166">
        <f t="shared" si="20"/>
        <v>0</v>
      </c>
      <c r="F59" s="167">
        <f t="shared" si="21"/>
        <v>0</v>
      </c>
      <c r="G59" s="168">
        <f t="shared" si="22"/>
        <v>0</v>
      </c>
      <c r="H59" s="147">
        <f t="shared" si="27"/>
        <v>5.9794672540119928E-2</v>
      </c>
      <c r="I59" s="164">
        <f t="shared" si="27"/>
        <v>0.16459752684908685</v>
      </c>
      <c r="J59" s="147">
        <f t="shared" si="15"/>
        <v>0</v>
      </c>
      <c r="K59" s="147">
        <f t="shared" si="16"/>
        <v>0</v>
      </c>
      <c r="L59" s="147">
        <f t="shared" si="17"/>
        <v>0</v>
      </c>
      <c r="M59" s="147">
        <f t="shared" si="8"/>
        <v>2.6005662511278723E-2</v>
      </c>
      <c r="N59" s="147">
        <f t="shared" si="18"/>
        <v>2.9709278470235762E-2</v>
      </c>
      <c r="O59" s="164">
        <f t="shared" si="23"/>
        <v>3.5066907326015487E-2</v>
      </c>
      <c r="P59" s="147">
        <f t="shared" si="9"/>
        <v>0</v>
      </c>
      <c r="Q59" s="147">
        <f t="shared" si="10"/>
        <v>0</v>
      </c>
      <c r="R59" s="147">
        <f t="shared" si="11"/>
        <v>0</v>
      </c>
      <c r="S59" s="156">
        <f t="shared" si="19"/>
        <v>0</v>
      </c>
      <c r="T59" s="156">
        <f t="shared" si="12"/>
        <v>0</v>
      </c>
      <c r="U59" s="165">
        <f t="shared" si="25"/>
        <v>0</v>
      </c>
      <c r="W59" s="154">
        <f t="shared" si="14"/>
        <v>0.94020532745988006</v>
      </c>
    </row>
    <row r="60" spans="1:23" x14ac:dyDescent="0.25">
      <c r="A60" s="163"/>
      <c r="B60" s="163"/>
      <c r="C60" s="438"/>
      <c r="D60" s="147" t="s">
        <v>228</v>
      </c>
      <c r="E60" s="166">
        <f>IF(E59&gt;0.1,-100/($D$2-3)+E59,0)</f>
        <v>0</v>
      </c>
      <c r="F60" s="167">
        <f>IF(F59&gt;0.1,-100/($D$2-2)+F59,0)</f>
        <v>0</v>
      </c>
      <c r="G60" s="168">
        <f>IF(G59&gt;0.1,-100/($D$2-1)+G59,0)</f>
        <v>0</v>
      </c>
      <c r="H60" s="147">
        <f>H59</f>
        <v>5.9794672540119928E-2</v>
      </c>
      <c r="I60" s="164">
        <f>I59</f>
        <v>0.16459752684908685</v>
      </c>
      <c r="J60" s="147">
        <f>I60*E60/100</f>
        <v>0</v>
      </c>
      <c r="K60" s="147">
        <f>I60*F60/100</f>
        <v>0</v>
      </c>
      <c r="L60" s="147">
        <f>I60*G60/100</f>
        <v>0</v>
      </c>
      <c r="M60" s="147">
        <f>M59*W59</f>
        <v>2.4450662437227939E-2</v>
      </c>
      <c r="N60" s="147">
        <f t="shared" si="18"/>
        <v>2.7932821892704778E-2</v>
      </c>
      <c r="O60" s="164">
        <f t="shared" si="23"/>
        <v>3.2970093085461658E-2</v>
      </c>
      <c r="P60" s="147">
        <f>H60*J60*M60</f>
        <v>0</v>
      </c>
      <c r="Q60" s="147">
        <f>N60*K60*H60</f>
        <v>0</v>
      </c>
      <c r="R60" s="147">
        <f>H60*L60*O60</f>
        <v>0</v>
      </c>
      <c r="S60" s="156">
        <f>P60*$E60</f>
        <v>0</v>
      </c>
      <c r="T60" s="156">
        <f>Q60*$F60</f>
        <v>0</v>
      </c>
      <c r="U60" s="165">
        <f>R60*$G60</f>
        <v>0</v>
      </c>
      <c r="W60" s="154">
        <f t="shared" si="14"/>
        <v>0.94020532745988006</v>
      </c>
    </row>
    <row r="61" spans="1:23" x14ac:dyDescent="0.25">
      <c r="A61" s="163"/>
      <c r="B61" s="163"/>
      <c r="C61" s="426"/>
      <c r="D61" s="157" t="s">
        <v>229</v>
      </c>
      <c r="E61" s="169">
        <f>IF(E60&gt;0.1,-100/($D$2-3)+E60,0)</f>
        <v>0</v>
      </c>
      <c r="F61" s="170">
        <f>IF(F60&gt;0.1,-100/($D$2-2)+F60,0)</f>
        <v>0</v>
      </c>
      <c r="G61" s="171">
        <f>IF(G60&gt;0.1,-100/($D$2-1)+G60,0)</f>
        <v>0</v>
      </c>
      <c r="H61" s="157">
        <f>H60</f>
        <v>5.9794672540119928E-2</v>
      </c>
      <c r="I61" s="172">
        <f>I60</f>
        <v>0.16459752684908685</v>
      </c>
      <c r="J61" s="157">
        <f>I61*E61/100</f>
        <v>0</v>
      </c>
      <c r="K61" s="157">
        <f>I61*F61/100</f>
        <v>0</v>
      </c>
      <c r="L61" s="157">
        <f>I61*G61/100</f>
        <v>0</v>
      </c>
      <c r="M61" s="157">
        <f>M60*W60</f>
        <v>2.2988643083404883E-2</v>
      </c>
      <c r="N61" s="157">
        <f t="shared" si="18"/>
        <v>2.6262587954509004E-2</v>
      </c>
      <c r="O61" s="172">
        <f t="shared" si="23"/>
        <v>3.0998657165799207E-2</v>
      </c>
      <c r="P61" s="157">
        <f>H61*J61*M61</f>
        <v>0</v>
      </c>
      <c r="Q61" s="157">
        <f>N61*K61*H61</f>
        <v>0</v>
      </c>
      <c r="R61" s="157">
        <f>H61*L61*O61</f>
        <v>0</v>
      </c>
      <c r="S61" s="173">
        <f>P61*$E61</f>
        <v>0</v>
      </c>
      <c r="T61" s="173">
        <f>Q61*$F61</f>
        <v>0</v>
      </c>
      <c r="U61" s="174">
        <f>R61*$G61</f>
        <v>0</v>
      </c>
      <c r="W61" s="182">
        <f t="shared" si="14"/>
        <v>0.94020532745988006</v>
      </c>
    </row>
    <row r="62" spans="1:23" x14ac:dyDescent="0.25">
      <c r="V62" s="114"/>
    </row>
    <row r="63" spans="1:23" x14ac:dyDescent="0.25">
      <c r="P63" s="138" t="s">
        <v>230</v>
      </c>
      <c r="Q63" s="138" t="s">
        <v>230</v>
      </c>
      <c r="R63" s="138" t="s">
        <v>230</v>
      </c>
      <c r="S63" s="183" t="s">
        <v>231</v>
      </c>
      <c r="T63" s="122" t="s">
        <v>231</v>
      </c>
      <c r="U63" s="122" t="s">
        <v>231</v>
      </c>
    </row>
    <row r="64" spans="1:23" x14ac:dyDescent="0.25">
      <c r="O64" s="184" t="s">
        <v>11</v>
      </c>
      <c r="P64" s="185">
        <f>S64/$E$9</f>
        <v>0.16451071745204932</v>
      </c>
      <c r="Q64" s="186"/>
      <c r="R64" s="186"/>
      <c r="S64" s="187">
        <f>SUM(S11:S59)</f>
        <v>16.451071745204931</v>
      </c>
      <c r="T64" s="114"/>
      <c r="U64" s="114"/>
      <c r="V64" s="145"/>
    </row>
    <row r="65" spans="15:21" x14ac:dyDescent="0.25">
      <c r="O65" s="184" t="s">
        <v>12</v>
      </c>
      <c r="P65" s="185"/>
      <c r="Q65" s="185">
        <f>T65/$E$9</f>
        <v>0.13995866478586672</v>
      </c>
      <c r="R65" s="186"/>
      <c r="S65" s="145"/>
      <c r="T65" s="187">
        <f>SUM(T12:T59)</f>
        <v>13.995866478586672</v>
      </c>
    </row>
    <row r="66" spans="15:21" x14ac:dyDescent="0.25">
      <c r="O66" s="188" t="s">
        <v>13</v>
      </c>
      <c r="P66" s="185"/>
      <c r="Q66" s="186"/>
      <c r="R66" s="185">
        <f>U66/$E$9</f>
        <v>0.11440955260458711</v>
      </c>
      <c r="S66" s="145"/>
      <c r="T66" s="145"/>
      <c r="U66" s="187">
        <f>SUM(U13:U59)</f>
        <v>11.440955260458711</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66"/>
  <sheetViews>
    <sheetView zoomScale="70" zoomScaleNormal="70" workbookViewId="0"/>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244</v>
      </c>
      <c r="K1" s="114" t="s">
        <v>245</v>
      </c>
    </row>
    <row r="2" spans="1:27" x14ac:dyDescent="0.25">
      <c r="B2" s="114" t="s">
        <v>157</v>
      </c>
      <c r="C2" s="115" t="s">
        <v>158</v>
      </c>
      <c r="D2" s="116">
        <f>Sovereign!D52</f>
        <v>5</v>
      </c>
      <c r="F2" s="114" t="s">
        <v>159</v>
      </c>
      <c r="G2" s="117" t="s">
        <v>160</v>
      </c>
      <c r="I2" s="114" t="s">
        <v>11</v>
      </c>
      <c r="J2" s="249">
        <f>Sovereign!I33</f>
        <v>5.9177900398128098E-2</v>
      </c>
      <c r="K2" s="249">
        <v>0.4</v>
      </c>
    </row>
    <row r="3" spans="1:27" x14ac:dyDescent="0.25">
      <c r="C3" s="115" t="s">
        <v>161</v>
      </c>
      <c r="D3" s="115"/>
      <c r="I3" s="114" t="s">
        <v>12</v>
      </c>
      <c r="J3" s="249">
        <f>Sovereign!I39</f>
        <v>5.9177900398128098E-2</v>
      </c>
      <c r="K3" s="249">
        <v>0.4</v>
      </c>
    </row>
    <row r="4" spans="1:27" x14ac:dyDescent="0.25">
      <c r="C4" s="115" t="s">
        <v>162</v>
      </c>
      <c r="D4" s="115"/>
      <c r="I4" s="114" t="s">
        <v>13</v>
      </c>
      <c r="J4" s="249">
        <f>Sovereign!I45</f>
        <v>5.9177900398128098E-2</v>
      </c>
      <c r="K4" s="249">
        <v>0.4</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base (sov)'!J2</f>
        <v>5.9177900398128098E-2</v>
      </c>
      <c r="I10" s="150">
        <f>'Processor LT base (sov)'!K2</f>
        <v>0.4</v>
      </c>
      <c r="J10" s="150">
        <f>I10*E10/100</f>
        <v>0.4</v>
      </c>
      <c r="K10" s="150"/>
      <c r="L10" s="150"/>
      <c r="M10" s="151">
        <v>1</v>
      </c>
      <c r="N10" s="152"/>
      <c r="O10" s="152"/>
      <c r="P10" s="152">
        <f>H10*J10*M10</f>
        <v>2.3671160159251241E-2</v>
      </c>
      <c r="Q10" s="152"/>
      <c r="R10" s="152"/>
      <c r="S10" s="153">
        <f>P10*$E10</f>
        <v>2.3671160159251241</v>
      </c>
      <c r="T10" s="144"/>
      <c r="U10" s="144"/>
      <c r="W10" s="154">
        <f t="shared" ref="W10:W13" si="0">1-H10</f>
        <v>0.94082209960187191</v>
      </c>
    </row>
    <row r="11" spans="1:27" x14ac:dyDescent="0.25">
      <c r="C11" s="438"/>
      <c r="D11" s="147" t="s">
        <v>12</v>
      </c>
      <c r="E11" s="148">
        <f>IF($D$2&gt;1,100,0)</f>
        <v>100</v>
      </c>
      <c r="F11" s="148">
        <v>100</v>
      </c>
      <c r="G11" s="148">
        <v>100</v>
      </c>
      <c r="H11" s="149">
        <f>'Processor LT base (sov)'!J3</f>
        <v>5.9177900398128098E-2</v>
      </c>
      <c r="I11" s="150">
        <f>'Processor LT base (sov)'!K3</f>
        <v>0.4</v>
      </c>
      <c r="J11" s="150">
        <f>I11*E11/100</f>
        <v>0.4</v>
      </c>
      <c r="K11" s="150">
        <f>I11*F11/100</f>
        <v>0.4</v>
      </c>
      <c r="L11" s="150"/>
      <c r="M11" s="360">
        <f>M10*W10</f>
        <v>0.94082209960187191</v>
      </c>
      <c r="N11" s="151">
        <v>1</v>
      </c>
      <c r="O11" s="155"/>
      <c r="P11" s="152">
        <f t="shared" ref="P11:P13" si="1">H11*J11*M11</f>
        <v>2.2270350601038932E-2</v>
      </c>
      <c r="Q11" s="152">
        <f>N11*K11*H11</f>
        <v>2.3671160159251241E-2</v>
      </c>
      <c r="R11" s="152"/>
      <c r="S11" s="156">
        <f>P11*$E11</f>
        <v>2.2270350601038933</v>
      </c>
      <c r="T11" s="153">
        <f t="shared" ref="T11:T13" si="2">Q11*$F11</f>
        <v>2.3671160159251241</v>
      </c>
      <c r="U11" s="144"/>
      <c r="W11" s="154">
        <f t="shared" si="0"/>
        <v>0.94082209960187191</v>
      </c>
    </row>
    <row r="12" spans="1:27" x14ac:dyDescent="0.25">
      <c r="C12" s="426"/>
      <c r="D12" s="157" t="s">
        <v>13</v>
      </c>
      <c r="E12" s="158">
        <f>IF($D$2&gt;2,100,0)</f>
        <v>100</v>
      </c>
      <c r="F12" s="140">
        <f>IF($D$2&gt;1,100,0)</f>
        <v>100</v>
      </c>
      <c r="G12" s="159">
        <v>100</v>
      </c>
      <c r="H12" s="160">
        <f>'Processor LT base (sov)'!J4</f>
        <v>5.9177900398128098E-2</v>
      </c>
      <c r="I12" s="161">
        <f>'Processor LT base (sov)'!K4</f>
        <v>0.4</v>
      </c>
      <c r="J12" s="161">
        <f>I12*E12/100</f>
        <v>0.4</v>
      </c>
      <c r="K12" s="161">
        <f>I12*F12/100</f>
        <v>0.4</v>
      </c>
      <c r="L12" s="161">
        <f>I12*G12/100</f>
        <v>0.4</v>
      </c>
      <c r="M12" s="142">
        <f t="shared" ref="M12:M13" si="3">M11*W11</f>
        <v>0.8851462230992746</v>
      </c>
      <c r="N12" s="142">
        <f>N11*W11</f>
        <v>0.94082209960187191</v>
      </c>
      <c r="O12" s="162">
        <v>1</v>
      </c>
      <c r="P12" s="142">
        <f t="shared" si="1"/>
        <v>2.095243801133926E-2</v>
      </c>
      <c r="Q12" s="142">
        <f t="shared" ref="Q12:Q13" si="4">N12*K12*H12</f>
        <v>2.2270350601038932E-2</v>
      </c>
      <c r="R12" s="142">
        <f>H12*L12*O12</f>
        <v>2.3671160159251241E-2</v>
      </c>
      <c r="S12" s="156">
        <f>P12*$E12</f>
        <v>2.0952438011339258</v>
      </c>
      <c r="T12" s="156">
        <f t="shared" si="2"/>
        <v>2.2270350601038933</v>
      </c>
      <c r="U12" s="153">
        <f t="shared" ref="U12:U13" si="5">R12*$G12</f>
        <v>2.3671160159251241</v>
      </c>
      <c r="W12" s="154">
        <f t="shared" si="0"/>
        <v>0.94082209960187191</v>
      </c>
    </row>
    <row r="13" spans="1:27" x14ac:dyDescent="0.25">
      <c r="A13" s="163"/>
      <c r="C13" s="439" t="s">
        <v>179</v>
      </c>
      <c r="D13" s="147" t="s">
        <v>180</v>
      </c>
      <c r="E13" s="148">
        <f>IF($D$2&gt;3,100,0)</f>
        <v>100</v>
      </c>
      <c r="F13" s="148">
        <f>IF($D$2&gt;2,100,0)</f>
        <v>100</v>
      </c>
      <c r="G13" s="148">
        <f>IF($D$2&gt;1,100,0)</f>
        <v>100</v>
      </c>
      <c r="H13" s="147">
        <f>H12</f>
        <v>5.9177900398128098E-2</v>
      </c>
      <c r="I13" s="147">
        <f>I12</f>
        <v>0.4</v>
      </c>
      <c r="J13" s="164">
        <f>I13*E13/100</f>
        <v>0.4</v>
      </c>
      <c r="K13" s="164">
        <f>I13*F13/100</f>
        <v>0.4</v>
      </c>
      <c r="L13" s="164">
        <f>I13*G13/100</f>
        <v>0.4</v>
      </c>
      <c r="M13" s="164">
        <f t="shared" si="3"/>
        <v>0.83276512807092651</v>
      </c>
      <c r="N13" s="164">
        <f t="shared" ref="N13" si="6">N12*W12</f>
        <v>0.8851462230992746</v>
      </c>
      <c r="O13" s="164">
        <f>O12*W12</f>
        <v>0.94082209960187191</v>
      </c>
      <c r="P13" s="164">
        <f t="shared" si="1"/>
        <v>1.9712516721606274E-2</v>
      </c>
      <c r="Q13" s="164">
        <f t="shared" si="4"/>
        <v>2.095243801133926E-2</v>
      </c>
      <c r="R13" s="164">
        <f t="shared" ref="R13" si="7">H13*L13*O13</f>
        <v>2.2270350601038932E-2</v>
      </c>
      <c r="S13" s="156">
        <f>P13*$E13</f>
        <v>1.9712516721606275</v>
      </c>
      <c r="T13" s="156">
        <f t="shared" si="2"/>
        <v>2.0952438011339258</v>
      </c>
      <c r="U13" s="165">
        <f t="shared" si="5"/>
        <v>2.2270350601038933</v>
      </c>
      <c r="W13" s="154">
        <f t="shared" si="0"/>
        <v>0.94082209960187191</v>
      </c>
    </row>
    <row r="14" spans="1:27" x14ac:dyDescent="0.25">
      <c r="A14" s="163"/>
      <c r="B14" s="163"/>
      <c r="C14" s="440"/>
      <c r="D14" s="147" t="s">
        <v>181</v>
      </c>
      <c r="E14" s="166">
        <f>IF(E13&gt;0.1,-100/($D$2-3)+E13,0)</f>
        <v>50</v>
      </c>
      <c r="F14" s="167">
        <f>IF(F13&gt;0.1,-100/($D$2-2)+F13,0)</f>
        <v>66.666666666666657</v>
      </c>
      <c r="G14" s="168">
        <f>IF(G13&gt;0.1,-100/($D$2-1)+G13,0)</f>
        <v>75</v>
      </c>
      <c r="H14" s="147">
        <f t="shared" ref="H14:I29" si="8">H13</f>
        <v>5.9177900398128098E-2</v>
      </c>
      <c r="I14" s="164">
        <f t="shared" si="8"/>
        <v>0.4</v>
      </c>
      <c r="J14" s="164">
        <f t="shared" ref="J14:J61" si="9">I14*E14/100</f>
        <v>0.2</v>
      </c>
      <c r="K14" s="164">
        <f t="shared" ref="K14:K61" si="10">I14*F14/100</f>
        <v>0.26666666666666666</v>
      </c>
      <c r="L14" s="164">
        <f t="shared" ref="L14:L61" si="11">I14*G14/100</f>
        <v>0.3</v>
      </c>
      <c r="M14" s="164">
        <f t="shared" ref="M14:M61" si="12">M13*W13</f>
        <v>0.78348383626691087</v>
      </c>
      <c r="N14" s="164">
        <f t="shared" ref="N14:N61" si="13">N13*W13</f>
        <v>0.83276512807092651</v>
      </c>
      <c r="O14" s="164">
        <f t="shared" ref="O14:O61" si="14">O13*W13</f>
        <v>0.8851462230992746</v>
      </c>
      <c r="P14" s="164">
        <f t="shared" ref="P14:P61" si="15">H14*J14*M14</f>
        <v>9.2729856852293117E-3</v>
      </c>
      <c r="Q14" s="164">
        <f t="shared" ref="Q14:Q61" si="16">N14*K14*H14</f>
        <v>1.314167781440418E-2</v>
      </c>
      <c r="R14" s="164">
        <f t="shared" ref="R14:R61" si="17">H14*L14*O14</f>
        <v>1.5714328508504443E-2</v>
      </c>
      <c r="S14" s="156">
        <f t="shared" ref="S14:S61" si="18">P14*$E14</f>
        <v>0.46364928426146557</v>
      </c>
      <c r="T14" s="156">
        <f t="shared" ref="T14:T61" si="19">Q14*$F14</f>
        <v>0.87611185429361194</v>
      </c>
      <c r="U14" s="165">
        <f t="shared" ref="U14:U22" si="20">R14*$G14</f>
        <v>1.1785746381378333</v>
      </c>
      <c r="W14" s="154">
        <f t="shared" ref="W14:W61" si="21">1-H14</f>
        <v>0.94082209960187191</v>
      </c>
    </row>
    <row r="15" spans="1:27" x14ac:dyDescent="0.25">
      <c r="A15" s="163"/>
      <c r="B15" s="163"/>
      <c r="C15" s="440"/>
      <c r="D15" s="147" t="s">
        <v>182</v>
      </c>
      <c r="E15" s="166">
        <f t="shared" ref="E15:E61" si="22">IF(E14&gt;0.1,-100/($D$2-3)+E14,0)</f>
        <v>0</v>
      </c>
      <c r="F15" s="167">
        <f t="shared" ref="F15:F61" si="23">IF(F14&gt;0.1,-100/($D$2-2)+F14,0)</f>
        <v>33.333333333333321</v>
      </c>
      <c r="G15" s="168">
        <f t="shared" ref="G15:G61" si="24">IF(G14&gt;0.1,-100/($D$2-1)+G14,0)</f>
        <v>50</v>
      </c>
      <c r="H15" s="147">
        <f t="shared" si="8"/>
        <v>5.9177900398128098E-2</v>
      </c>
      <c r="I15" s="164">
        <f t="shared" si="8"/>
        <v>0.4</v>
      </c>
      <c r="J15" s="164">
        <f t="shared" si="9"/>
        <v>0</v>
      </c>
      <c r="K15" s="164">
        <f t="shared" si="10"/>
        <v>0.13333333333333328</v>
      </c>
      <c r="L15" s="164">
        <f t="shared" si="11"/>
        <v>0.2</v>
      </c>
      <c r="M15" s="164">
        <f t="shared" si="12"/>
        <v>0.73711890784076428</v>
      </c>
      <c r="N15" s="164">
        <f t="shared" si="13"/>
        <v>0.78348383626691087</v>
      </c>
      <c r="O15" s="164">
        <f t="shared" si="14"/>
        <v>0.83276512807092651</v>
      </c>
      <c r="P15" s="164">
        <f t="shared" si="15"/>
        <v>0</v>
      </c>
      <c r="Q15" s="164">
        <f t="shared" si="16"/>
        <v>6.181990456819538E-3</v>
      </c>
      <c r="R15" s="164">
        <f t="shared" si="17"/>
        <v>9.8562583608031371E-3</v>
      </c>
      <c r="S15" s="156">
        <f t="shared" si="18"/>
        <v>0</v>
      </c>
      <c r="T15" s="156">
        <f t="shared" si="19"/>
        <v>0.2060663485606512</v>
      </c>
      <c r="U15" s="165">
        <f t="shared" si="20"/>
        <v>0.49281291804015687</v>
      </c>
      <c r="W15" s="154">
        <f t="shared" si="21"/>
        <v>0.94082209960187191</v>
      </c>
    </row>
    <row r="16" spans="1:27" x14ac:dyDescent="0.25">
      <c r="A16" s="163"/>
      <c r="B16" s="163"/>
      <c r="C16" s="440"/>
      <c r="D16" s="147" t="s">
        <v>183</v>
      </c>
      <c r="E16" s="166">
        <f t="shared" si="22"/>
        <v>0</v>
      </c>
      <c r="F16" s="167">
        <f t="shared" si="23"/>
        <v>-1.4210854715202004E-14</v>
      </c>
      <c r="G16" s="168">
        <f t="shared" si="24"/>
        <v>25</v>
      </c>
      <c r="H16" s="147">
        <f t="shared" si="8"/>
        <v>5.9177900398128098E-2</v>
      </c>
      <c r="I16" s="164">
        <f t="shared" si="8"/>
        <v>0.4</v>
      </c>
      <c r="J16" s="164">
        <f t="shared" si="9"/>
        <v>0</v>
      </c>
      <c r="K16" s="164">
        <f t="shared" si="10"/>
        <v>-5.6843418860808016E-17</v>
      </c>
      <c r="L16" s="164">
        <f t="shared" si="11"/>
        <v>0.1</v>
      </c>
      <c r="M16" s="164">
        <f t="shared" si="12"/>
        <v>0.69349775853098661</v>
      </c>
      <c r="N16" s="164">
        <f t="shared" si="13"/>
        <v>0.73711890784076428</v>
      </c>
      <c r="O16" s="164">
        <f t="shared" si="14"/>
        <v>0.78348383626691087</v>
      </c>
      <c r="P16" s="164">
        <f t="shared" si="15"/>
        <v>0</v>
      </c>
      <c r="Q16" s="164">
        <f t="shared" si="16"/>
        <v>-2.4795752614055409E-18</v>
      </c>
      <c r="R16" s="164">
        <f t="shared" si="17"/>
        <v>4.6364928426146559E-3</v>
      </c>
      <c r="S16" s="156">
        <f t="shared" si="18"/>
        <v>0</v>
      </c>
      <c r="T16" s="156">
        <f t="shared" si="19"/>
        <v>3.5236883795243172E-32</v>
      </c>
      <c r="U16" s="165">
        <f t="shared" si="20"/>
        <v>0.11591232106536639</v>
      </c>
      <c r="W16" s="154">
        <f t="shared" si="21"/>
        <v>0.94082209960187191</v>
      </c>
    </row>
    <row r="17" spans="1:27" x14ac:dyDescent="0.25">
      <c r="A17" s="163"/>
      <c r="B17" s="163"/>
      <c r="C17" s="440"/>
      <c r="D17" s="147" t="s">
        <v>184</v>
      </c>
      <c r="E17" s="166">
        <f t="shared" si="22"/>
        <v>0</v>
      </c>
      <c r="F17" s="167">
        <f t="shared" si="23"/>
        <v>0</v>
      </c>
      <c r="G17" s="168">
        <f t="shared" si="24"/>
        <v>0</v>
      </c>
      <c r="H17" s="147">
        <f t="shared" si="8"/>
        <v>5.9177900398128098E-2</v>
      </c>
      <c r="I17" s="164">
        <f t="shared" si="8"/>
        <v>0.4</v>
      </c>
      <c r="J17" s="164">
        <f t="shared" si="9"/>
        <v>0</v>
      </c>
      <c r="K17" s="164">
        <f t="shared" si="10"/>
        <v>0</v>
      </c>
      <c r="L17" s="164">
        <f t="shared" si="11"/>
        <v>0</v>
      </c>
      <c r="M17" s="164">
        <f t="shared" si="12"/>
        <v>0.65245801725031483</v>
      </c>
      <c r="N17" s="164">
        <f t="shared" si="13"/>
        <v>0.69349775853098661</v>
      </c>
      <c r="O17" s="164">
        <f t="shared" si="14"/>
        <v>0.73711890784076428</v>
      </c>
      <c r="P17" s="164">
        <f t="shared" si="15"/>
        <v>0</v>
      </c>
      <c r="Q17" s="164">
        <f t="shared" si="16"/>
        <v>0</v>
      </c>
      <c r="R17" s="164">
        <f t="shared" si="17"/>
        <v>0</v>
      </c>
      <c r="S17" s="156">
        <f t="shared" si="18"/>
        <v>0</v>
      </c>
      <c r="T17" s="156">
        <f t="shared" si="19"/>
        <v>0</v>
      </c>
      <c r="U17" s="165">
        <f t="shared" si="20"/>
        <v>0</v>
      </c>
      <c r="W17" s="154">
        <f t="shared" si="21"/>
        <v>0.94082209960187191</v>
      </c>
    </row>
    <row r="18" spans="1:27" x14ac:dyDescent="0.25">
      <c r="A18" s="163"/>
      <c r="B18" s="163"/>
      <c r="C18" s="428"/>
      <c r="D18" s="157" t="s">
        <v>185</v>
      </c>
      <c r="E18" s="169">
        <f t="shared" si="22"/>
        <v>0</v>
      </c>
      <c r="F18" s="170">
        <f t="shared" si="23"/>
        <v>0</v>
      </c>
      <c r="G18" s="171">
        <f t="shared" si="24"/>
        <v>0</v>
      </c>
      <c r="H18" s="157">
        <f t="shared" si="8"/>
        <v>5.9177900398128098E-2</v>
      </c>
      <c r="I18" s="172">
        <f t="shared" si="8"/>
        <v>0.4</v>
      </c>
      <c r="J18" s="157">
        <f t="shared" si="9"/>
        <v>0</v>
      </c>
      <c r="K18" s="172">
        <f t="shared" si="10"/>
        <v>0</v>
      </c>
      <c r="L18" s="172">
        <f t="shared" si="11"/>
        <v>0</v>
      </c>
      <c r="M18" s="172">
        <f t="shared" si="12"/>
        <v>0.61384692169151556</v>
      </c>
      <c r="N18" s="172">
        <f t="shared" si="13"/>
        <v>0.65245801725031483</v>
      </c>
      <c r="O18" s="172">
        <f t="shared" si="14"/>
        <v>0.69349775853098661</v>
      </c>
      <c r="P18" s="172">
        <f t="shared" si="15"/>
        <v>0</v>
      </c>
      <c r="Q18" s="172">
        <f t="shared" si="16"/>
        <v>0</v>
      </c>
      <c r="R18" s="172">
        <f t="shared" si="17"/>
        <v>0</v>
      </c>
      <c r="S18" s="173">
        <f t="shared" si="18"/>
        <v>0</v>
      </c>
      <c r="T18" s="173">
        <f t="shared" si="19"/>
        <v>0</v>
      </c>
      <c r="U18" s="174">
        <f t="shared" si="20"/>
        <v>0</v>
      </c>
      <c r="W18" s="154">
        <f t="shared" si="21"/>
        <v>0.94082209960187191</v>
      </c>
    </row>
    <row r="19" spans="1:27" x14ac:dyDescent="0.25">
      <c r="A19" s="163"/>
      <c r="B19" s="163"/>
      <c r="C19" s="437" t="s">
        <v>186</v>
      </c>
      <c r="D19" s="147" t="s">
        <v>187</v>
      </c>
      <c r="E19" s="166">
        <f t="shared" si="22"/>
        <v>0</v>
      </c>
      <c r="F19" s="167">
        <f t="shared" si="23"/>
        <v>0</v>
      </c>
      <c r="G19" s="168">
        <f t="shared" si="24"/>
        <v>0</v>
      </c>
      <c r="H19" s="175">
        <f t="shared" si="8"/>
        <v>5.9177900398128098E-2</v>
      </c>
      <c r="I19" s="176">
        <f t="shared" si="8"/>
        <v>0.4</v>
      </c>
      <c r="J19" s="164">
        <f t="shared" si="9"/>
        <v>0</v>
      </c>
      <c r="K19" s="177">
        <f t="shared" si="10"/>
        <v>0</v>
      </c>
      <c r="L19" s="177">
        <f t="shared" si="11"/>
        <v>0</v>
      </c>
      <c r="M19" s="178">
        <f t="shared" si="12"/>
        <v>0.57752074969995748</v>
      </c>
      <c r="N19" s="178">
        <f t="shared" si="13"/>
        <v>0.61384692169151556</v>
      </c>
      <c r="O19" s="178">
        <f t="shared" si="14"/>
        <v>0.65245801725031483</v>
      </c>
      <c r="P19" s="178">
        <f t="shared" si="15"/>
        <v>0</v>
      </c>
      <c r="Q19" s="178">
        <f t="shared" si="16"/>
        <v>0</v>
      </c>
      <c r="R19" s="178">
        <f t="shared" si="17"/>
        <v>0</v>
      </c>
      <c r="S19" s="156">
        <f t="shared" si="18"/>
        <v>0</v>
      </c>
      <c r="T19" s="156">
        <f t="shared" si="19"/>
        <v>0</v>
      </c>
      <c r="U19" s="165">
        <f t="shared" si="20"/>
        <v>0</v>
      </c>
      <c r="W19" s="154">
        <f t="shared" si="21"/>
        <v>0.94082209960187191</v>
      </c>
    </row>
    <row r="20" spans="1:27" x14ac:dyDescent="0.25">
      <c r="A20" s="163"/>
      <c r="B20" s="163"/>
      <c r="C20" s="438"/>
      <c r="D20" s="147" t="s">
        <v>188</v>
      </c>
      <c r="E20" s="166">
        <f t="shared" si="22"/>
        <v>0</v>
      </c>
      <c r="F20" s="167">
        <f t="shared" si="23"/>
        <v>0</v>
      </c>
      <c r="G20" s="168">
        <f t="shared" si="24"/>
        <v>0</v>
      </c>
      <c r="H20" s="147">
        <f t="shared" si="8"/>
        <v>5.9177900398128098E-2</v>
      </c>
      <c r="I20" s="164">
        <f t="shared" si="8"/>
        <v>0.4</v>
      </c>
      <c r="J20" s="164">
        <f t="shared" si="9"/>
        <v>0</v>
      </c>
      <c r="K20" s="164">
        <f t="shared" si="10"/>
        <v>0</v>
      </c>
      <c r="L20" s="164">
        <f t="shared" si="11"/>
        <v>0</v>
      </c>
      <c r="M20" s="164">
        <f t="shared" si="12"/>
        <v>0.54334428429636117</v>
      </c>
      <c r="N20" s="164">
        <f t="shared" si="13"/>
        <v>0.57752074969995748</v>
      </c>
      <c r="O20" s="164">
        <f t="shared" si="14"/>
        <v>0.61384692169151556</v>
      </c>
      <c r="P20" s="164">
        <f t="shared" si="15"/>
        <v>0</v>
      </c>
      <c r="Q20" s="164">
        <f t="shared" si="16"/>
        <v>0</v>
      </c>
      <c r="R20" s="164">
        <f t="shared" si="17"/>
        <v>0</v>
      </c>
      <c r="S20" s="156">
        <f t="shared" si="18"/>
        <v>0</v>
      </c>
      <c r="T20" s="156">
        <f t="shared" si="19"/>
        <v>0</v>
      </c>
      <c r="U20" s="165">
        <f t="shared" si="20"/>
        <v>0</v>
      </c>
      <c r="W20" s="154">
        <f t="shared" si="21"/>
        <v>0.94082209960187191</v>
      </c>
    </row>
    <row r="21" spans="1:27" x14ac:dyDescent="0.25">
      <c r="A21" s="163"/>
      <c r="B21" s="163"/>
      <c r="C21" s="438"/>
      <c r="D21" s="147" t="s">
        <v>189</v>
      </c>
      <c r="E21" s="166">
        <f t="shared" si="22"/>
        <v>0</v>
      </c>
      <c r="F21" s="167">
        <f t="shared" si="23"/>
        <v>0</v>
      </c>
      <c r="G21" s="168">
        <f t="shared" si="24"/>
        <v>0</v>
      </c>
      <c r="H21" s="147">
        <f t="shared" si="8"/>
        <v>5.9177900398128098E-2</v>
      </c>
      <c r="I21" s="164">
        <f t="shared" si="8"/>
        <v>0.4</v>
      </c>
      <c r="J21" s="164">
        <f t="shared" si="9"/>
        <v>0</v>
      </c>
      <c r="K21" s="164">
        <f t="shared" si="10"/>
        <v>0</v>
      </c>
      <c r="L21" s="164">
        <f t="shared" si="11"/>
        <v>0</v>
      </c>
      <c r="M21" s="164">
        <f t="shared" si="12"/>
        <v>0.51119031035837892</v>
      </c>
      <c r="N21" s="164">
        <f t="shared" si="13"/>
        <v>0.54334428429636117</v>
      </c>
      <c r="O21" s="164">
        <f t="shared" si="14"/>
        <v>0.57752074969995748</v>
      </c>
      <c r="P21" s="147">
        <f t="shared" si="15"/>
        <v>0</v>
      </c>
      <c r="Q21" s="164">
        <f t="shared" si="16"/>
        <v>0</v>
      </c>
      <c r="R21" s="164">
        <f t="shared" si="17"/>
        <v>0</v>
      </c>
      <c r="S21" s="156">
        <f t="shared" si="18"/>
        <v>0</v>
      </c>
      <c r="T21" s="156">
        <f t="shared" si="19"/>
        <v>0</v>
      </c>
      <c r="U21" s="165">
        <f t="shared" si="20"/>
        <v>0</v>
      </c>
      <c r="V21" s="114"/>
      <c r="W21" s="154">
        <f t="shared" si="21"/>
        <v>0.94082209960187191</v>
      </c>
      <c r="Z21" s="179"/>
      <c r="AA21" s="179"/>
    </row>
    <row r="22" spans="1:27" x14ac:dyDescent="0.25">
      <c r="A22" s="163"/>
      <c r="B22" s="163"/>
      <c r="C22" s="438"/>
      <c r="D22" s="147" t="s">
        <v>190</v>
      </c>
      <c r="E22" s="166">
        <f t="shared" si="22"/>
        <v>0</v>
      </c>
      <c r="F22" s="167">
        <f t="shared" si="23"/>
        <v>0</v>
      </c>
      <c r="G22" s="168">
        <f t="shared" si="24"/>
        <v>0</v>
      </c>
      <c r="H22" s="147">
        <f t="shared" si="8"/>
        <v>5.9177900398128098E-2</v>
      </c>
      <c r="I22" s="164">
        <f t="shared" si="8"/>
        <v>0.4</v>
      </c>
      <c r="J22" s="164">
        <f t="shared" si="9"/>
        <v>0</v>
      </c>
      <c r="K22" s="147">
        <f t="shared" si="10"/>
        <v>0</v>
      </c>
      <c r="L22" s="164">
        <f t="shared" si="11"/>
        <v>0</v>
      </c>
      <c r="M22" s="164">
        <f t="shared" si="12"/>
        <v>0.48093914108750258</v>
      </c>
      <c r="N22" s="164">
        <f t="shared" si="13"/>
        <v>0.51119031035837892</v>
      </c>
      <c r="O22" s="164">
        <f t="shared" si="14"/>
        <v>0.54334428429636117</v>
      </c>
      <c r="P22" s="147">
        <f t="shared" si="15"/>
        <v>0</v>
      </c>
      <c r="Q22" s="147">
        <f t="shared" si="16"/>
        <v>0</v>
      </c>
      <c r="R22" s="164">
        <f t="shared" si="17"/>
        <v>0</v>
      </c>
      <c r="S22" s="156">
        <f t="shared" si="18"/>
        <v>0</v>
      </c>
      <c r="T22" s="156">
        <f t="shared" si="19"/>
        <v>0</v>
      </c>
      <c r="U22" s="165">
        <f t="shared" si="20"/>
        <v>0</v>
      </c>
      <c r="V22" s="114"/>
      <c r="W22" s="154">
        <f t="shared" si="21"/>
        <v>0.94082209960187191</v>
      </c>
      <c r="Z22" s="179"/>
      <c r="AA22" s="179"/>
    </row>
    <row r="23" spans="1:27" x14ac:dyDescent="0.25">
      <c r="A23" s="163"/>
      <c r="B23" s="163"/>
      <c r="C23" s="438"/>
      <c r="D23" s="147" t="s">
        <v>191</v>
      </c>
      <c r="E23" s="166">
        <f t="shared" si="22"/>
        <v>0</v>
      </c>
      <c r="F23" s="167">
        <f t="shared" si="23"/>
        <v>0</v>
      </c>
      <c r="G23" s="168">
        <f t="shared" si="24"/>
        <v>0</v>
      </c>
      <c r="H23" s="147">
        <f t="shared" si="8"/>
        <v>5.9177900398128098E-2</v>
      </c>
      <c r="I23" s="164">
        <f t="shared" si="8"/>
        <v>0.4</v>
      </c>
      <c r="J23" s="164">
        <f t="shared" si="9"/>
        <v>0</v>
      </c>
      <c r="K23" s="147">
        <f t="shared" si="10"/>
        <v>0</v>
      </c>
      <c r="L23" s="147">
        <f t="shared" si="11"/>
        <v>0</v>
      </c>
      <c r="M23" s="147">
        <f t="shared" si="12"/>
        <v>0.45247817249866507</v>
      </c>
      <c r="N23" s="147">
        <f t="shared" si="13"/>
        <v>0.48093914108750258</v>
      </c>
      <c r="O23" s="164">
        <f t="shared" si="14"/>
        <v>0.51119031035837892</v>
      </c>
      <c r="P23" s="147">
        <f t="shared" si="15"/>
        <v>0</v>
      </c>
      <c r="Q23" s="147">
        <f t="shared" si="16"/>
        <v>0</v>
      </c>
      <c r="R23" s="147">
        <f t="shared" si="17"/>
        <v>0</v>
      </c>
      <c r="S23" s="156">
        <f t="shared" si="18"/>
        <v>0</v>
      </c>
      <c r="T23" s="156">
        <f t="shared" si="19"/>
        <v>0</v>
      </c>
      <c r="U23" s="165">
        <f>R23*$G23</f>
        <v>0</v>
      </c>
      <c r="V23" s="114"/>
      <c r="W23" s="154">
        <f t="shared" si="21"/>
        <v>0.94082209960187191</v>
      </c>
      <c r="Z23" s="179"/>
      <c r="AA23" s="179"/>
    </row>
    <row r="24" spans="1:27" x14ac:dyDescent="0.25">
      <c r="A24" s="163"/>
      <c r="B24" s="163"/>
      <c r="C24" s="438"/>
      <c r="D24" s="147" t="s">
        <v>192</v>
      </c>
      <c r="E24" s="166">
        <f t="shared" si="22"/>
        <v>0</v>
      </c>
      <c r="F24" s="167">
        <f t="shared" si="23"/>
        <v>0</v>
      </c>
      <c r="G24" s="168">
        <f t="shared" si="24"/>
        <v>0</v>
      </c>
      <c r="H24" s="147">
        <f t="shared" si="8"/>
        <v>5.9177900398128098E-2</v>
      </c>
      <c r="I24" s="164">
        <f t="shared" si="8"/>
        <v>0.4</v>
      </c>
      <c r="J24" s="164">
        <f t="shared" si="9"/>
        <v>0</v>
      </c>
      <c r="K24" s="147">
        <f t="shared" si="10"/>
        <v>0</v>
      </c>
      <c r="L24" s="147">
        <f t="shared" si="11"/>
        <v>0</v>
      </c>
      <c r="M24" s="147">
        <f t="shared" si="12"/>
        <v>0.42570146427421202</v>
      </c>
      <c r="N24" s="147">
        <f t="shared" si="13"/>
        <v>0.45247817249866507</v>
      </c>
      <c r="O24" s="164">
        <f t="shared" si="14"/>
        <v>0.48093914108750258</v>
      </c>
      <c r="P24" s="147">
        <f t="shared" si="15"/>
        <v>0</v>
      </c>
      <c r="Q24" s="147">
        <f t="shared" si="16"/>
        <v>0</v>
      </c>
      <c r="R24" s="147">
        <f t="shared" si="17"/>
        <v>0</v>
      </c>
      <c r="S24" s="156">
        <f t="shared" si="18"/>
        <v>0</v>
      </c>
      <c r="T24" s="156">
        <f t="shared" si="19"/>
        <v>0</v>
      </c>
      <c r="U24" s="165">
        <f t="shared" ref="U24:U61" si="25">R24*$G24</f>
        <v>0</v>
      </c>
      <c r="V24" s="114"/>
      <c r="W24" s="154">
        <f t="shared" si="21"/>
        <v>0.94082209960187191</v>
      </c>
      <c r="X24" s="180"/>
      <c r="Z24" s="131"/>
      <c r="AA24" s="131"/>
    </row>
    <row r="25" spans="1:27" x14ac:dyDescent="0.25">
      <c r="A25" s="163"/>
      <c r="B25" s="163"/>
      <c r="C25" s="438"/>
      <c r="D25" s="147" t="s">
        <v>193</v>
      </c>
      <c r="E25" s="166">
        <f t="shared" si="22"/>
        <v>0</v>
      </c>
      <c r="F25" s="167">
        <f t="shared" si="23"/>
        <v>0</v>
      </c>
      <c r="G25" s="168">
        <f t="shared" si="24"/>
        <v>0</v>
      </c>
      <c r="H25" s="147">
        <f t="shared" si="8"/>
        <v>5.9177900398128098E-2</v>
      </c>
      <c r="I25" s="164">
        <f t="shared" si="8"/>
        <v>0.4</v>
      </c>
      <c r="J25" s="164">
        <f t="shared" si="9"/>
        <v>0</v>
      </c>
      <c r="K25" s="147">
        <f t="shared" si="10"/>
        <v>0</v>
      </c>
      <c r="L25" s="147">
        <f t="shared" si="11"/>
        <v>0</v>
      </c>
      <c r="M25" s="147">
        <f t="shared" si="12"/>
        <v>0.40050934542205541</v>
      </c>
      <c r="N25" s="147">
        <f t="shared" si="13"/>
        <v>0.42570146427421202</v>
      </c>
      <c r="O25" s="164">
        <f t="shared" si="14"/>
        <v>0.45247817249866507</v>
      </c>
      <c r="P25" s="147">
        <f t="shared" si="15"/>
        <v>0</v>
      </c>
      <c r="Q25" s="147">
        <f t="shared" si="16"/>
        <v>0</v>
      </c>
      <c r="R25" s="147">
        <f t="shared" si="17"/>
        <v>0</v>
      </c>
      <c r="S25" s="156">
        <f t="shared" si="18"/>
        <v>0</v>
      </c>
      <c r="T25" s="156">
        <f t="shared" si="19"/>
        <v>0</v>
      </c>
      <c r="U25" s="165">
        <f t="shared" si="25"/>
        <v>0</v>
      </c>
      <c r="V25" s="114"/>
      <c r="W25" s="154">
        <f t="shared" si="21"/>
        <v>0.94082209960187191</v>
      </c>
      <c r="Z25" s="181"/>
      <c r="AA25" s="179"/>
    </row>
    <row r="26" spans="1:27" x14ac:dyDescent="0.25">
      <c r="A26" s="163"/>
      <c r="B26" s="163"/>
      <c r="C26" s="438"/>
      <c r="D26" s="147" t="s">
        <v>194</v>
      </c>
      <c r="E26" s="166">
        <f t="shared" si="22"/>
        <v>0</v>
      </c>
      <c r="F26" s="167">
        <f t="shared" si="23"/>
        <v>0</v>
      </c>
      <c r="G26" s="168">
        <f t="shared" si="24"/>
        <v>0</v>
      </c>
      <c r="H26" s="147">
        <f t="shared" si="8"/>
        <v>5.9177900398128098E-2</v>
      </c>
      <c r="I26" s="164">
        <f t="shared" si="8"/>
        <v>0.4</v>
      </c>
      <c r="J26" s="164">
        <f t="shared" si="9"/>
        <v>0</v>
      </c>
      <c r="K26" s="147">
        <f t="shared" si="10"/>
        <v>0</v>
      </c>
      <c r="L26" s="147">
        <f t="shared" si="11"/>
        <v>0</v>
      </c>
      <c r="M26" s="147">
        <f t="shared" si="12"/>
        <v>0.37680804327014955</v>
      </c>
      <c r="N26" s="147">
        <f t="shared" si="13"/>
        <v>0.40050934542205541</v>
      </c>
      <c r="O26" s="164">
        <f t="shared" si="14"/>
        <v>0.42570146427421202</v>
      </c>
      <c r="P26" s="147">
        <f t="shared" si="15"/>
        <v>0</v>
      </c>
      <c r="Q26" s="147">
        <f t="shared" si="16"/>
        <v>0</v>
      </c>
      <c r="R26" s="147">
        <f t="shared" si="17"/>
        <v>0</v>
      </c>
      <c r="S26" s="156">
        <f t="shared" si="18"/>
        <v>0</v>
      </c>
      <c r="T26" s="156">
        <f t="shared" si="19"/>
        <v>0</v>
      </c>
      <c r="U26" s="165">
        <f t="shared" si="25"/>
        <v>0</v>
      </c>
      <c r="V26" s="114"/>
      <c r="W26" s="154">
        <f t="shared" si="21"/>
        <v>0.94082209960187191</v>
      </c>
      <c r="Y26" s="181"/>
      <c r="Z26" s="181"/>
      <c r="AA26" s="179"/>
    </row>
    <row r="27" spans="1:27" x14ac:dyDescent="0.25">
      <c r="A27" s="163"/>
      <c r="B27" s="163"/>
      <c r="C27" s="438"/>
      <c r="D27" s="147" t="s">
        <v>195</v>
      </c>
      <c r="E27" s="166">
        <f t="shared" si="22"/>
        <v>0</v>
      </c>
      <c r="F27" s="167">
        <f t="shared" si="23"/>
        <v>0</v>
      </c>
      <c r="G27" s="168">
        <f t="shared" si="24"/>
        <v>0</v>
      </c>
      <c r="H27" s="147">
        <f t="shared" si="8"/>
        <v>5.9177900398128098E-2</v>
      </c>
      <c r="I27" s="164">
        <f t="shared" si="8"/>
        <v>0.4</v>
      </c>
      <c r="J27" s="164">
        <f t="shared" si="9"/>
        <v>0</v>
      </c>
      <c r="K27" s="147">
        <f t="shared" si="10"/>
        <v>0</v>
      </c>
      <c r="L27" s="147">
        <f t="shared" si="11"/>
        <v>0</v>
      </c>
      <c r="M27" s="147">
        <f t="shared" si="12"/>
        <v>0.35450933441629512</v>
      </c>
      <c r="N27" s="147">
        <f t="shared" si="13"/>
        <v>0.37680804327014955</v>
      </c>
      <c r="O27" s="164">
        <f t="shared" si="14"/>
        <v>0.40050934542205541</v>
      </c>
      <c r="P27" s="147">
        <f t="shared" si="15"/>
        <v>0</v>
      </c>
      <c r="Q27" s="147">
        <f t="shared" si="16"/>
        <v>0</v>
      </c>
      <c r="R27" s="147">
        <f t="shared" si="17"/>
        <v>0</v>
      </c>
      <c r="S27" s="156">
        <f t="shared" si="18"/>
        <v>0</v>
      </c>
      <c r="T27" s="156">
        <f t="shared" si="19"/>
        <v>0</v>
      </c>
      <c r="U27" s="165">
        <f t="shared" si="25"/>
        <v>0</v>
      </c>
      <c r="V27" s="114"/>
      <c r="W27" s="154">
        <f t="shared" si="21"/>
        <v>0.94082209960187191</v>
      </c>
      <c r="Y27" s="181"/>
      <c r="Z27" s="181"/>
      <c r="AA27" s="179"/>
    </row>
    <row r="28" spans="1:27" x14ac:dyDescent="0.25">
      <c r="A28" s="163"/>
      <c r="B28" s="163"/>
      <c r="C28" s="438"/>
      <c r="D28" s="147" t="s">
        <v>196</v>
      </c>
      <c r="E28" s="166">
        <f t="shared" si="22"/>
        <v>0</v>
      </c>
      <c r="F28" s="167">
        <f t="shared" si="23"/>
        <v>0</v>
      </c>
      <c r="G28" s="168">
        <f t="shared" si="24"/>
        <v>0</v>
      </c>
      <c r="H28" s="147">
        <f t="shared" si="8"/>
        <v>5.9177900398128098E-2</v>
      </c>
      <c r="I28" s="164">
        <f t="shared" si="8"/>
        <v>0.4</v>
      </c>
      <c r="J28" s="164">
        <f t="shared" si="9"/>
        <v>0</v>
      </c>
      <c r="K28" s="147">
        <f t="shared" si="10"/>
        <v>0</v>
      </c>
      <c r="L28" s="147">
        <f t="shared" si="11"/>
        <v>0</v>
      </c>
      <c r="M28" s="147">
        <f t="shared" si="12"/>
        <v>0.33353021633400093</v>
      </c>
      <c r="N28" s="147">
        <f t="shared" si="13"/>
        <v>0.35450933441629512</v>
      </c>
      <c r="O28" s="164">
        <f t="shared" si="14"/>
        <v>0.37680804327014955</v>
      </c>
      <c r="P28" s="147">
        <f t="shared" si="15"/>
        <v>0</v>
      </c>
      <c r="Q28" s="147">
        <f t="shared" si="16"/>
        <v>0</v>
      </c>
      <c r="R28" s="147">
        <f t="shared" si="17"/>
        <v>0</v>
      </c>
      <c r="S28" s="156">
        <f t="shared" si="18"/>
        <v>0</v>
      </c>
      <c r="T28" s="156">
        <f t="shared" si="19"/>
        <v>0</v>
      </c>
      <c r="U28" s="165">
        <f t="shared" si="25"/>
        <v>0</v>
      </c>
      <c r="V28" s="114"/>
      <c r="W28" s="154">
        <f t="shared" si="21"/>
        <v>0.94082209960187191</v>
      </c>
      <c r="Y28" s="179"/>
      <c r="Z28" s="179"/>
      <c r="AA28" s="179"/>
    </row>
    <row r="29" spans="1:27" x14ac:dyDescent="0.25">
      <c r="A29" s="163"/>
      <c r="B29" s="163"/>
      <c r="C29" s="438"/>
      <c r="D29" s="147" t="s">
        <v>197</v>
      </c>
      <c r="E29" s="166">
        <f t="shared" si="22"/>
        <v>0</v>
      </c>
      <c r="F29" s="167">
        <f t="shared" si="23"/>
        <v>0</v>
      </c>
      <c r="G29" s="168">
        <f t="shared" si="24"/>
        <v>0</v>
      </c>
      <c r="H29" s="147">
        <f t="shared" si="8"/>
        <v>5.9177900398128098E-2</v>
      </c>
      <c r="I29" s="164">
        <f t="shared" si="8"/>
        <v>0.4</v>
      </c>
      <c r="J29" s="164">
        <f t="shared" si="9"/>
        <v>0</v>
      </c>
      <c r="K29" s="147">
        <f t="shared" si="10"/>
        <v>0</v>
      </c>
      <c r="L29" s="147">
        <f t="shared" si="11"/>
        <v>0</v>
      </c>
      <c r="M29" s="147">
        <f t="shared" si="12"/>
        <v>0.31379259841202128</v>
      </c>
      <c r="N29" s="147">
        <f t="shared" si="13"/>
        <v>0.33353021633400093</v>
      </c>
      <c r="O29" s="164">
        <f t="shared" si="14"/>
        <v>0.35450933441629512</v>
      </c>
      <c r="P29" s="147">
        <f t="shared" si="15"/>
        <v>0</v>
      </c>
      <c r="Q29" s="147">
        <f t="shared" si="16"/>
        <v>0</v>
      </c>
      <c r="R29" s="147">
        <f t="shared" si="17"/>
        <v>0</v>
      </c>
      <c r="S29" s="156">
        <f t="shared" si="18"/>
        <v>0</v>
      </c>
      <c r="T29" s="156">
        <f t="shared" si="19"/>
        <v>0</v>
      </c>
      <c r="U29" s="165">
        <f t="shared" si="25"/>
        <v>0</v>
      </c>
      <c r="V29" s="114"/>
      <c r="W29" s="154">
        <f t="shared" si="21"/>
        <v>0.94082209960187191</v>
      </c>
      <c r="Y29" s="179"/>
      <c r="Z29" s="179"/>
      <c r="AA29" s="179"/>
    </row>
    <row r="30" spans="1:27" x14ac:dyDescent="0.25">
      <c r="A30" s="163"/>
      <c r="B30" s="163"/>
      <c r="C30" s="438"/>
      <c r="D30" s="147" t="s">
        <v>198</v>
      </c>
      <c r="E30" s="166">
        <f t="shared" si="22"/>
        <v>0</v>
      </c>
      <c r="F30" s="167">
        <f t="shared" si="23"/>
        <v>0</v>
      </c>
      <c r="G30" s="168">
        <f t="shared" si="24"/>
        <v>0</v>
      </c>
      <c r="H30" s="147">
        <f t="shared" ref="H30:I45" si="26">H29</f>
        <v>5.9177900398128098E-2</v>
      </c>
      <c r="I30" s="164">
        <f t="shared" si="26"/>
        <v>0.4</v>
      </c>
      <c r="J30" s="164">
        <f t="shared" si="9"/>
        <v>0</v>
      </c>
      <c r="K30" s="147">
        <f t="shared" si="10"/>
        <v>0</v>
      </c>
      <c r="L30" s="147">
        <f t="shared" si="11"/>
        <v>0</v>
      </c>
      <c r="M30" s="147">
        <f t="shared" si="12"/>
        <v>0.29522301127752487</v>
      </c>
      <c r="N30" s="147">
        <f t="shared" si="13"/>
        <v>0.31379259841202128</v>
      </c>
      <c r="O30" s="164">
        <f t="shared" si="14"/>
        <v>0.33353021633400093</v>
      </c>
      <c r="P30" s="147">
        <f t="shared" si="15"/>
        <v>0</v>
      </c>
      <c r="Q30" s="147">
        <f t="shared" si="16"/>
        <v>0</v>
      </c>
      <c r="R30" s="147">
        <f t="shared" si="17"/>
        <v>0</v>
      </c>
      <c r="S30" s="156">
        <f t="shared" si="18"/>
        <v>0</v>
      </c>
      <c r="T30" s="156">
        <f t="shared" si="19"/>
        <v>0</v>
      </c>
      <c r="U30" s="165">
        <f t="shared" si="25"/>
        <v>0</v>
      </c>
      <c r="W30" s="154">
        <f t="shared" si="21"/>
        <v>0.94082209960187191</v>
      </c>
    </row>
    <row r="31" spans="1:27" x14ac:dyDescent="0.25">
      <c r="A31" s="163"/>
      <c r="B31" s="163"/>
      <c r="C31" s="438"/>
      <c r="D31" s="147" t="s">
        <v>199</v>
      </c>
      <c r="E31" s="166">
        <f t="shared" si="22"/>
        <v>0</v>
      </c>
      <c r="F31" s="167">
        <f t="shared" si="23"/>
        <v>0</v>
      </c>
      <c r="G31" s="168">
        <f t="shared" si="24"/>
        <v>0</v>
      </c>
      <c r="H31" s="147">
        <f t="shared" si="26"/>
        <v>5.9177900398128098E-2</v>
      </c>
      <c r="I31" s="164">
        <f t="shared" si="26"/>
        <v>0.4</v>
      </c>
      <c r="J31" s="164">
        <f t="shared" si="9"/>
        <v>0</v>
      </c>
      <c r="K31" s="147">
        <f t="shared" si="10"/>
        <v>0</v>
      </c>
      <c r="L31" s="147">
        <f t="shared" si="11"/>
        <v>0</v>
      </c>
      <c r="M31" s="147">
        <f t="shared" si="12"/>
        <v>0.27775233332090804</v>
      </c>
      <c r="N31" s="147">
        <f t="shared" si="13"/>
        <v>0.29522301127752487</v>
      </c>
      <c r="O31" s="164">
        <f t="shared" si="14"/>
        <v>0.31379259841202128</v>
      </c>
      <c r="P31" s="147">
        <f t="shared" si="15"/>
        <v>0</v>
      </c>
      <c r="Q31" s="147">
        <f t="shared" si="16"/>
        <v>0</v>
      </c>
      <c r="R31" s="147">
        <f t="shared" si="17"/>
        <v>0</v>
      </c>
      <c r="S31" s="156">
        <f t="shared" si="18"/>
        <v>0</v>
      </c>
      <c r="T31" s="156">
        <f t="shared" si="19"/>
        <v>0</v>
      </c>
      <c r="U31" s="165">
        <f t="shared" si="25"/>
        <v>0</v>
      </c>
      <c r="W31" s="154">
        <f t="shared" si="21"/>
        <v>0.94082209960187191</v>
      </c>
    </row>
    <row r="32" spans="1:27" x14ac:dyDescent="0.25">
      <c r="A32" s="163"/>
      <c r="B32" s="163"/>
      <c r="C32" s="438"/>
      <c r="D32" s="147" t="s">
        <v>200</v>
      </c>
      <c r="E32" s="166">
        <f t="shared" si="22"/>
        <v>0</v>
      </c>
      <c r="F32" s="167">
        <f t="shared" si="23"/>
        <v>0</v>
      </c>
      <c r="G32" s="168">
        <f t="shared" si="24"/>
        <v>0</v>
      </c>
      <c r="H32" s="147">
        <f t="shared" si="26"/>
        <v>5.9177900398128098E-2</v>
      </c>
      <c r="I32" s="164">
        <f t="shared" si="26"/>
        <v>0.4</v>
      </c>
      <c r="J32" s="164">
        <f t="shared" si="9"/>
        <v>0</v>
      </c>
      <c r="K32" s="147">
        <f t="shared" si="10"/>
        <v>0</v>
      </c>
      <c r="L32" s="147">
        <f t="shared" si="11"/>
        <v>0</v>
      </c>
      <c r="M32" s="147">
        <f t="shared" si="12"/>
        <v>0.2613155334042957</v>
      </c>
      <c r="N32" s="147">
        <f t="shared" si="13"/>
        <v>0.27775233332090804</v>
      </c>
      <c r="O32" s="164">
        <f t="shared" si="14"/>
        <v>0.29522301127752487</v>
      </c>
      <c r="P32" s="147">
        <f t="shared" si="15"/>
        <v>0</v>
      </c>
      <c r="Q32" s="147">
        <f t="shared" si="16"/>
        <v>0</v>
      </c>
      <c r="R32" s="147">
        <f t="shared" si="17"/>
        <v>0</v>
      </c>
      <c r="S32" s="156">
        <f t="shared" si="18"/>
        <v>0</v>
      </c>
      <c r="T32" s="156">
        <f t="shared" si="19"/>
        <v>0</v>
      </c>
      <c r="U32" s="165">
        <f t="shared" si="25"/>
        <v>0</v>
      </c>
      <c r="W32" s="154">
        <f t="shared" si="21"/>
        <v>0.94082209960187191</v>
      </c>
    </row>
    <row r="33" spans="1:23" x14ac:dyDescent="0.25">
      <c r="A33" s="163"/>
      <c r="B33" s="163"/>
      <c r="C33" s="438"/>
      <c r="D33" s="147" t="s">
        <v>201</v>
      </c>
      <c r="E33" s="166">
        <f t="shared" si="22"/>
        <v>0</v>
      </c>
      <c r="F33" s="167">
        <f t="shared" si="23"/>
        <v>0</v>
      </c>
      <c r="G33" s="168">
        <f t="shared" si="24"/>
        <v>0</v>
      </c>
      <c r="H33" s="147">
        <f t="shared" si="26"/>
        <v>5.9177900398128098E-2</v>
      </c>
      <c r="I33" s="164">
        <f t="shared" si="26"/>
        <v>0.4</v>
      </c>
      <c r="J33" s="164">
        <f t="shared" si="9"/>
        <v>0</v>
      </c>
      <c r="K33" s="147">
        <f t="shared" si="10"/>
        <v>0</v>
      </c>
      <c r="L33" s="147">
        <f t="shared" si="11"/>
        <v>0</v>
      </c>
      <c r="M33" s="147">
        <f t="shared" si="12"/>
        <v>0.24585142879601257</v>
      </c>
      <c r="N33" s="147">
        <f t="shared" si="13"/>
        <v>0.2613155334042957</v>
      </c>
      <c r="O33" s="164">
        <f t="shared" si="14"/>
        <v>0.27775233332090804</v>
      </c>
      <c r="P33" s="147">
        <f t="shared" si="15"/>
        <v>0</v>
      </c>
      <c r="Q33" s="147">
        <f t="shared" si="16"/>
        <v>0</v>
      </c>
      <c r="R33" s="147">
        <f t="shared" si="17"/>
        <v>0</v>
      </c>
      <c r="S33" s="156">
        <f t="shared" si="18"/>
        <v>0</v>
      </c>
      <c r="T33" s="156">
        <f t="shared" si="19"/>
        <v>0</v>
      </c>
      <c r="U33" s="165">
        <f t="shared" si="25"/>
        <v>0</v>
      </c>
      <c r="W33" s="154">
        <f t="shared" si="21"/>
        <v>0.94082209960187191</v>
      </c>
    </row>
    <row r="34" spans="1:23" x14ac:dyDescent="0.25">
      <c r="A34" s="163"/>
      <c r="B34" s="163"/>
      <c r="C34" s="438"/>
      <c r="D34" s="147" t="s">
        <v>202</v>
      </c>
      <c r="E34" s="166">
        <f t="shared" si="22"/>
        <v>0</v>
      </c>
      <c r="F34" s="167">
        <f t="shared" si="23"/>
        <v>0</v>
      </c>
      <c r="G34" s="168">
        <f t="shared" si="24"/>
        <v>0</v>
      </c>
      <c r="H34" s="147">
        <f t="shared" si="26"/>
        <v>5.9177900398128098E-2</v>
      </c>
      <c r="I34" s="164">
        <f t="shared" si="26"/>
        <v>0.4</v>
      </c>
      <c r="J34" s="164">
        <f t="shared" si="9"/>
        <v>0</v>
      </c>
      <c r="K34" s="147">
        <f t="shared" si="10"/>
        <v>0</v>
      </c>
      <c r="L34" s="147">
        <f t="shared" si="11"/>
        <v>0</v>
      </c>
      <c r="M34" s="147">
        <f t="shared" si="12"/>
        <v>0.23130245742998465</v>
      </c>
      <c r="N34" s="147">
        <f t="shared" si="13"/>
        <v>0.24585142879601257</v>
      </c>
      <c r="O34" s="164">
        <f t="shared" si="14"/>
        <v>0.2613155334042957</v>
      </c>
      <c r="P34" s="147">
        <f t="shared" si="15"/>
        <v>0</v>
      </c>
      <c r="Q34" s="147">
        <f t="shared" si="16"/>
        <v>0</v>
      </c>
      <c r="R34" s="147">
        <f t="shared" si="17"/>
        <v>0</v>
      </c>
      <c r="S34" s="156">
        <f t="shared" si="18"/>
        <v>0</v>
      </c>
      <c r="T34" s="156">
        <f t="shared" si="19"/>
        <v>0</v>
      </c>
      <c r="U34" s="165">
        <f t="shared" si="25"/>
        <v>0</v>
      </c>
      <c r="W34" s="154">
        <f t="shared" si="21"/>
        <v>0.94082209960187191</v>
      </c>
    </row>
    <row r="35" spans="1:23" x14ac:dyDescent="0.25">
      <c r="A35" s="163"/>
      <c r="B35" s="163"/>
      <c r="C35" s="438"/>
      <c r="D35" s="147" t="s">
        <v>203</v>
      </c>
      <c r="E35" s="166">
        <f t="shared" si="22"/>
        <v>0</v>
      </c>
      <c r="F35" s="167">
        <f t="shared" si="23"/>
        <v>0</v>
      </c>
      <c r="G35" s="168">
        <f t="shared" si="24"/>
        <v>0</v>
      </c>
      <c r="H35" s="147">
        <f t="shared" si="26"/>
        <v>5.9177900398128098E-2</v>
      </c>
      <c r="I35" s="164">
        <f t="shared" si="26"/>
        <v>0.4</v>
      </c>
      <c r="J35" s="164">
        <f t="shared" si="9"/>
        <v>0</v>
      </c>
      <c r="K35" s="147">
        <f t="shared" si="10"/>
        <v>0</v>
      </c>
      <c r="L35" s="147">
        <f t="shared" si="11"/>
        <v>0</v>
      </c>
      <c r="M35" s="147">
        <f t="shared" si="12"/>
        <v>0.21761446364235076</v>
      </c>
      <c r="N35" s="147">
        <f t="shared" si="13"/>
        <v>0.23130245742998465</v>
      </c>
      <c r="O35" s="164">
        <f t="shared" si="14"/>
        <v>0.24585142879601257</v>
      </c>
      <c r="P35" s="147">
        <f t="shared" si="15"/>
        <v>0</v>
      </c>
      <c r="Q35" s="147">
        <f t="shared" si="16"/>
        <v>0</v>
      </c>
      <c r="R35" s="147">
        <f t="shared" si="17"/>
        <v>0</v>
      </c>
      <c r="S35" s="156">
        <f t="shared" si="18"/>
        <v>0</v>
      </c>
      <c r="T35" s="156">
        <f t="shared" si="19"/>
        <v>0</v>
      </c>
      <c r="U35" s="165">
        <f t="shared" si="25"/>
        <v>0</v>
      </c>
      <c r="W35" s="154">
        <f t="shared" si="21"/>
        <v>0.94082209960187191</v>
      </c>
    </row>
    <row r="36" spans="1:23" x14ac:dyDescent="0.25">
      <c r="A36" s="163"/>
      <c r="B36" s="163"/>
      <c r="C36" s="438"/>
      <c r="D36" s="147" t="s">
        <v>204</v>
      </c>
      <c r="E36" s="166">
        <f t="shared" si="22"/>
        <v>0</v>
      </c>
      <c r="F36" s="167">
        <f t="shared" si="23"/>
        <v>0</v>
      </c>
      <c r="G36" s="168">
        <f t="shared" si="24"/>
        <v>0</v>
      </c>
      <c r="H36" s="147">
        <f t="shared" si="26"/>
        <v>5.9177900398128098E-2</v>
      </c>
      <c r="I36" s="164">
        <f t="shared" si="26"/>
        <v>0.4</v>
      </c>
      <c r="J36" s="164">
        <f t="shared" si="9"/>
        <v>0</v>
      </c>
      <c r="K36" s="147">
        <f t="shared" si="10"/>
        <v>0</v>
      </c>
      <c r="L36" s="147">
        <f t="shared" si="11"/>
        <v>0</v>
      </c>
      <c r="M36" s="147">
        <f t="shared" si="12"/>
        <v>0.20473649658773166</v>
      </c>
      <c r="N36" s="147">
        <f t="shared" si="13"/>
        <v>0.21761446364235076</v>
      </c>
      <c r="O36" s="164">
        <f t="shared" si="14"/>
        <v>0.23130245742998465</v>
      </c>
      <c r="P36" s="147">
        <f t="shared" si="15"/>
        <v>0</v>
      </c>
      <c r="Q36" s="147">
        <f t="shared" si="16"/>
        <v>0</v>
      </c>
      <c r="R36" s="147">
        <f t="shared" si="17"/>
        <v>0</v>
      </c>
      <c r="S36" s="156">
        <f t="shared" si="18"/>
        <v>0</v>
      </c>
      <c r="T36" s="156">
        <f t="shared" si="19"/>
        <v>0</v>
      </c>
      <c r="U36" s="165">
        <f t="shared" si="25"/>
        <v>0</v>
      </c>
      <c r="W36" s="154">
        <f t="shared" si="21"/>
        <v>0.94082209960187191</v>
      </c>
    </row>
    <row r="37" spans="1:23" x14ac:dyDescent="0.25">
      <c r="A37" s="163"/>
      <c r="B37" s="163"/>
      <c r="C37" s="438"/>
      <c r="D37" s="147" t="s">
        <v>205</v>
      </c>
      <c r="E37" s="166">
        <f t="shared" si="22"/>
        <v>0</v>
      </c>
      <c r="F37" s="167">
        <f t="shared" si="23"/>
        <v>0</v>
      </c>
      <c r="G37" s="168">
        <f t="shared" si="24"/>
        <v>0</v>
      </c>
      <c r="H37" s="147">
        <f t="shared" si="26"/>
        <v>5.9177900398128098E-2</v>
      </c>
      <c r="I37" s="164">
        <f t="shared" si="26"/>
        <v>0.4</v>
      </c>
      <c r="J37" s="164">
        <f t="shared" si="9"/>
        <v>0</v>
      </c>
      <c r="K37" s="147">
        <f t="shared" si="10"/>
        <v>0</v>
      </c>
      <c r="L37" s="147">
        <f t="shared" si="11"/>
        <v>0</v>
      </c>
      <c r="M37" s="147">
        <f t="shared" si="12"/>
        <v>0.19262062058480117</v>
      </c>
      <c r="N37" s="147">
        <f t="shared" si="13"/>
        <v>0.20473649658773166</v>
      </c>
      <c r="O37" s="164">
        <f t="shared" si="14"/>
        <v>0.21761446364235076</v>
      </c>
      <c r="P37" s="147">
        <f t="shared" si="15"/>
        <v>0</v>
      </c>
      <c r="Q37" s="147">
        <f t="shared" si="16"/>
        <v>0</v>
      </c>
      <c r="R37" s="147">
        <f t="shared" si="17"/>
        <v>0</v>
      </c>
      <c r="S37" s="156">
        <f t="shared" si="18"/>
        <v>0</v>
      </c>
      <c r="T37" s="156">
        <f t="shared" si="19"/>
        <v>0</v>
      </c>
      <c r="U37" s="165">
        <f t="shared" si="25"/>
        <v>0</v>
      </c>
      <c r="W37" s="154">
        <f t="shared" si="21"/>
        <v>0.94082209960187191</v>
      </c>
    </row>
    <row r="38" spans="1:23" x14ac:dyDescent="0.25">
      <c r="A38" s="163"/>
      <c r="B38" s="163"/>
      <c r="C38" s="438"/>
      <c r="D38" s="147" t="s">
        <v>206</v>
      </c>
      <c r="E38" s="166">
        <f t="shared" si="22"/>
        <v>0</v>
      </c>
      <c r="F38" s="167">
        <f t="shared" si="23"/>
        <v>0</v>
      </c>
      <c r="G38" s="168">
        <f t="shared" si="24"/>
        <v>0</v>
      </c>
      <c r="H38" s="147">
        <f t="shared" si="26"/>
        <v>5.9177900398128098E-2</v>
      </c>
      <c r="I38" s="164">
        <f t="shared" si="26"/>
        <v>0.4</v>
      </c>
      <c r="J38" s="164">
        <f t="shared" si="9"/>
        <v>0</v>
      </c>
      <c r="K38" s="147">
        <f t="shared" si="10"/>
        <v>0</v>
      </c>
      <c r="L38" s="147">
        <f t="shared" si="11"/>
        <v>0</v>
      </c>
      <c r="M38" s="147">
        <f t="shared" si="12"/>
        <v>0.18122173668520819</v>
      </c>
      <c r="N38" s="147">
        <f t="shared" si="13"/>
        <v>0.19262062058480117</v>
      </c>
      <c r="O38" s="164">
        <f t="shared" si="14"/>
        <v>0.20473649658773166</v>
      </c>
      <c r="P38" s="147">
        <f t="shared" si="15"/>
        <v>0</v>
      </c>
      <c r="Q38" s="147">
        <f t="shared" si="16"/>
        <v>0</v>
      </c>
      <c r="R38" s="147">
        <f t="shared" si="17"/>
        <v>0</v>
      </c>
      <c r="S38" s="156">
        <f t="shared" si="18"/>
        <v>0</v>
      </c>
      <c r="T38" s="156">
        <f t="shared" si="19"/>
        <v>0</v>
      </c>
      <c r="U38" s="165">
        <f t="shared" si="25"/>
        <v>0</v>
      </c>
      <c r="W38" s="154">
        <f t="shared" si="21"/>
        <v>0.94082209960187191</v>
      </c>
    </row>
    <row r="39" spans="1:23" x14ac:dyDescent="0.25">
      <c r="A39" s="163"/>
      <c r="B39" s="163"/>
      <c r="C39" s="438"/>
      <c r="D39" s="147" t="s">
        <v>207</v>
      </c>
      <c r="E39" s="166">
        <f t="shared" si="22"/>
        <v>0</v>
      </c>
      <c r="F39" s="167">
        <f t="shared" si="23"/>
        <v>0</v>
      </c>
      <c r="G39" s="168">
        <f t="shared" si="24"/>
        <v>0</v>
      </c>
      <c r="H39" s="147">
        <f t="shared" si="26"/>
        <v>5.9177900398128098E-2</v>
      </c>
      <c r="I39" s="164">
        <f t="shared" si="26"/>
        <v>0.4</v>
      </c>
      <c r="J39" s="164">
        <f t="shared" si="9"/>
        <v>0</v>
      </c>
      <c r="K39" s="147">
        <f t="shared" si="10"/>
        <v>0</v>
      </c>
      <c r="L39" s="147">
        <f t="shared" si="11"/>
        <v>0</v>
      </c>
      <c r="M39" s="147">
        <f t="shared" si="12"/>
        <v>0.17049741480167516</v>
      </c>
      <c r="N39" s="147">
        <f t="shared" si="13"/>
        <v>0.18122173668520819</v>
      </c>
      <c r="O39" s="164">
        <f t="shared" si="14"/>
        <v>0.19262062058480117</v>
      </c>
      <c r="P39" s="147">
        <f t="shared" si="15"/>
        <v>0</v>
      </c>
      <c r="Q39" s="147">
        <f t="shared" si="16"/>
        <v>0</v>
      </c>
      <c r="R39" s="147">
        <f t="shared" si="17"/>
        <v>0</v>
      </c>
      <c r="S39" s="156">
        <f t="shared" si="18"/>
        <v>0</v>
      </c>
      <c r="T39" s="156">
        <f t="shared" si="19"/>
        <v>0</v>
      </c>
      <c r="U39" s="165">
        <f t="shared" si="25"/>
        <v>0</v>
      </c>
      <c r="W39" s="154">
        <f t="shared" si="21"/>
        <v>0.94082209960187191</v>
      </c>
    </row>
    <row r="40" spans="1:23" x14ac:dyDescent="0.25">
      <c r="A40" s="163"/>
      <c r="B40" s="163"/>
      <c r="C40" s="438"/>
      <c r="D40" s="147" t="s">
        <v>208</v>
      </c>
      <c r="E40" s="166">
        <f t="shared" si="22"/>
        <v>0</v>
      </c>
      <c r="F40" s="167">
        <f t="shared" si="23"/>
        <v>0</v>
      </c>
      <c r="G40" s="168">
        <f t="shared" si="24"/>
        <v>0</v>
      </c>
      <c r="H40" s="147">
        <f t="shared" si="26"/>
        <v>5.9177900398128098E-2</v>
      </c>
      <c r="I40" s="164">
        <f t="shared" si="26"/>
        <v>0.4</v>
      </c>
      <c r="J40" s="164">
        <f t="shared" si="9"/>
        <v>0</v>
      </c>
      <c r="K40" s="147">
        <f t="shared" si="10"/>
        <v>0</v>
      </c>
      <c r="L40" s="147">
        <f t="shared" si="11"/>
        <v>0</v>
      </c>
      <c r="M40" s="147">
        <f t="shared" si="12"/>
        <v>0.16040773577040329</v>
      </c>
      <c r="N40" s="147">
        <f t="shared" si="13"/>
        <v>0.17049741480167516</v>
      </c>
      <c r="O40" s="164">
        <f t="shared" si="14"/>
        <v>0.18122173668520819</v>
      </c>
      <c r="P40" s="147">
        <f t="shared" si="15"/>
        <v>0</v>
      </c>
      <c r="Q40" s="147">
        <f t="shared" si="16"/>
        <v>0</v>
      </c>
      <c r="R40" s="147">
        <f t="shared" si="17"/>
        <v>0</v>
      </c>
      <c r="S40" s="156">
        <f t="shared" si="18"/>
        <v>0</v>
      </c>
      <c r="T40" s="156">
        <f t="shared" si="19"/>
        <v>0</v>
      </c>
      <c r="U40" s="165">
        <f t="shared" si="25"/>
        <v>0</v>
      </c>
      <c r="W40" s="154">
        <f t="shared" si="21"/>
        <v>0.94082209960187191</v>
      </c>
    </row>
    <row r="41" spans="1:23" x14ac:dyDescent="0.25">
      <c r="A41" s="163"/>
      <c r="B41" s="163"/>
      <c r="C41" s="438"/>
      <c r="D41" s="147" t="s">
        <v>209</v>
      </c>
      <c r="E41" s="166">
        <f t="shared" si="22"/>
        <v>0</v>
      </c>
      <c r="F41" s="167">
        <f t="shared" si="23"/>
        <v>0</v>
      </c>
      <c r="G41" s="168">
        <f t="shared" si="24"/>
        <v>0</v>
      </c>
      <c r="H41" s="147">
        <f t="shared" si="26"/>
        <v>5.9177900398128098E-2</v>
      </c>
      <c r="I41" s="164">
        <f t="shared" si="26"/>
        <v>0.4</v>
      </c>
      <c r="J41" s="164">
        <f t="shared" si="9"/>
        <v>0</v>
      </c>
      <c r="K41" s="147">
        <f t="shared" si="10"/>
        <v>0</v>
      </c>
      <c r="L41" s="147">
        <f t="shared" si="11"/>
        <v>0</v>
      </c>
      <c r="M41" s="147">
        <f t="shared" si="12"/>
        <v>0.15091514275989312</v>
      </c>
      <c r="N41" s="147">
        <f t="shared" si="13"/>
        <v>0.16040773577040329</v>
      </c>
      <c r="O41" s="164">
        <f t="shared" si="14"/>
        <v>0.17049741480167516</v>
      </c>
      <c r="P41" s="147">
        <f t="shared" si="15"/>
        <v>0</v>
      </c>
      <c r="Q41" s="147">
        <f t="shared" si="16"/>
        <v>0</v>
      </c>
      <c r="R41" s="147">
        <f t="shared" si="17"/>
        <v>0</v>
      </c>
      <c r="S41" s="156">
        <f t="shared" si="18"/>
        <v>0</v>
      </c>
      <c r="T41" s="156">
        <f t="shared" si="19"/>
        <v>0</v>
      </c>
      <c r="U41" s="165">
        <f t="shared" si="25"/>
        <v>0</v>
      </c>
      <c r="W41" s="154">
        <f t="shared" si="21"/>
        <v>0.94082209960187191</v>
      </c>
    </row>
    <row r="42" spans="1:23" x14ac:dyDescent="0.25">
      <c r="A42" s="163"/>
      <c r="B42" s="163"/>
      <c r="C42" s="438"/>
      <c r="D42" s="147" t="s">
        <v>210</v>
      </c>
      <c r="E42" s="166">
        <f t="shared" si="22"/>
        <v>0</v>
      </c>
      <c r="F42" s="167">
        <f t="shared" si="23"/>
        <v>0</v>
      </c>
      <c r="G42" s="168">
        <f t="shared" si="24"/>
        <v>0</v>
      </c>
      <c r="H42" s="147">
        <f t="shared" si="26"/>
        <v>5.9177900398128098E-2</v>
      </c>
      <c r="I42" s="164">
        <f t="shared" si="26"/>
        <v>0.4</v>
      </c>
      <c r="J42" s="164">
        <f t="shared" si="9"/>
        <v>0</v>
      </c>
      <c r="K42" s="147">
        <f t="shared" si="10"/>
        <v>0</v>
      </c>
      <c r="L42" s="147">
        <f t="shared" si="11"/>
        <v>0</v>
      </c>
      <c r="M42" s="147">
        <f t="shared" si="12"/>
        <v>0.14198430147307889</v>
      </c>
      <c r="N42" s="147">
        <f t="shared" si="13"/>
        <v>0.15091514275989312</v>
      </c>
      <c r="O42" s="164">
        <f t="shared" si="14"/>
        <v>0.16040773577040329</v>
      </c>
      <c r="P42" s="147">
        <f t="shared" si="15"/>
        <v>0</v>
      </c>
      <c r="Q42" s="147">
        <f t="shared" si="16"/>
        <v>0</v>
      </c>
      <c r="R42" s="147">
        <f t="shared" si="17"/>
        <v>0</v>
      </c>
      <c r="S42" s="156">
        <f t="shared" si="18"/>
        <v>0</v>
      </c>
      <c r="T42" s="156">
        <f t="shared" si="19"/>
        <v>0</v>
      </c>
      <c r="U42" s="165">
        <f t="shared" si="25"/>
        <v>0</v>
      </c>
      <c r="W42" s="154">
        <f t="shared" si="21"/>
        <v>0.94082209960187191</v>
      </c>
    </row>
    <row r="43" spans="1:23" x14ac:dyDescent="0.25">
      <c r="A43" s="163"/>
      <c r="B43" s="163"/>
      <c r="C43" s="438"/>
      <c r="D43" s="147" t="s">
        <v>211</v>
      </c>
      <c r="E43" s="166">
        <f t="shared" si="22"/>
        <v>0</v>
      </c>
      <c r="F43" s="167">
        <f t="shared" si="23"/>
        <v>0</v>
      </c>
      <c r="G43" s="168">
        <f t="shared" si="24"/>
        <v>0</v>
      </c>
      <c r="H43" s="147">
        <f t="shared" si="26"/>
        <v>5.9177900398128098E-2</v>
      </c>
      <c r="I43" s="164">
        <f t="shared" si="26"/>
        <v>0.4</v>
      </c>
      <c r="J43" s="164">
        <f t="shared" si="9"/>
        <v>0</v>
      </c>
      <c r="K43" s="147">
        <f t="shared" si="10"/>
        <v>0</v>
      </c>
      <c r="L43" s="147">
        <f t="shared" si="11"/>
        <v>0</v>
      </c>
      <c r="M43" s="147">
        <f t="shared" si="12"/>
        <v>0.13358196862240723</v>
      </c>
      <c r="N43" s="147">
        <f t="shared" si="13"/>
        <v>0.14198430147307889</v>
      </c>
      <c r="O43" s="164">
        <f t="shared" si="14"/>
        <v>0.15091514275989312</v>
      </c>
      <c r="P43" s="147">
        <f t="shared" si="15"/>
        <v>0</v>
      </c>
      <c r="Q43" s="147">
        <f t="shared" si="16"/>
        <v>0</v>
      </c>
      <c r="R43" s="147">
        <f t="shared" si="17"/>
        <v>0</v>
      </c>
      <c r="S43" s="156">
        <f t="shared" si="18"/>
        <v>0</v>
      </c>
      <c r="T43" s="156">
        <f t="shared" si="19"/>
        <v>0</v>
      </c>
      <c r="U43" s="165">
        <f t="shared" si="25"/>
        <v>0</v>
      </c>
      <c r="W43" s="154">
        <f t="shared" si="21"/>
        <v>0.94082209960187191</v>
      </c>
    </row>
    <row r="44" spans="1:23" x14ac:dyDescent="0.25">
      <c r="A44" s="163"/>
      <c r="B44" s="163"/>
      <c r="C44" s="438"/>
      <c r="D44" s="147" t="s">
        <v>212</v>
      </c>
      <c r="E44" s="166">
        <f t="shared" si="22"/>
        <v>0</v>
      </c>
      <c r="F44" s="167">
        <f t="shared" si="23"/>
        <v>0</v>
      </c>
      <c r="G44" s="168">
        <f t="shared" si="24"/>
        <v>0</v>
      </c>
      <c r="H44" s="147">
        <f t="shared" si="26"/>
        <v>5.9177900398128098E-2</v>
      </c>
      <c r="I44" s="164">
        <f t="shared" si="26"/>
        <v>0.4</v>
      </c>
      <c r="J44" s="164">
        <f t="shared" si="9"/>
        <v>0</v>
      </c>
      <c r="K44" s="147">
        <f t="shared" si="10"/>
        <v>0</v>
      </c>
      <c r="L44" s="147">
        <f t="shared" si="11"/>
        <v>0</v>
      </c>
      <c r="M44" s="147">
        <f t="shared" si="12"/>
        <v>0.12567686818828455</v>
      </c>
      <c r="N44" s="147">
        <f t="shared" si="13"/>
        <v>0.13358196862240723</v>
      </c>
      <c r="O44" s="164">
        <f t="shared" si="14"/>
        <v>0.14198430147307889</v>
      </c>
      <c r="P44" s="147">
        <f t="shared" si="15"/>
        <v>0</v>
      </c>
      <c r="Q44" s="147">
        <f t="shared" si="16"/>
        <v>0</v>
      </c>
      <c r="R44" s="147">
        <f t="shared" si="17"/>
        <v>0</v>
      </c>
      <c r="S44" s="156">
        <f t="shared" si="18"/>
        <v>0</v>
      </c>
      <c r="T44" s="156">
        <f t="shared" si="19"/>
        <v>0</v>
      </c>
      <c r="U44" s="165">
        <f t="shared" si="25"/>
        <v>0</v>
      </c>
      <c r="W44" s="154">
        <f t="shared" si="21"/>
        <v>0.94082209960187191</v>
      </c>
    </row>
    <row r="45" spans="1:23" x14ac:dyDescent="0.25">
      <c r="A45" s="163"/>
      <c r="B45" s="163"/>
      <c r="C45" s="438"/>
      <c r="D45" s="147" t="s">
        <v>213</v>
      </c>
      <c r="E45" s="166">
        <f t="shared" si="22"/>
        <v>0</v>
      </c>
      <c r="F45" s="167">
        <f t="shared" si="23"/>
        <v>0</v>
      </c>
      <c r="G45" s="168">
        <f t="shared" si="24"/>
        <v>0</v>
      </c>
      <c r="H45" s="147">
        <f t="shared" si="26"/>
        <v>5.9177900398128098E-2</v>
      </c>
      <c r="I45" s="164">
        <f t="shared" si="26"/>
        <v>0.4</v>
      </c>
      <c r="J45" s="164">
        <f t="shared" si="9"/>
        <v>0</v>
      </c>
      <c r="K45" s="147">
        <f t="shared" si="10"/>
        <v>0</v>
      </c>
      <c r="L45" s="147">
        <f t="shared" si="11"/>
        <v>0</v>
      </c>
      <c r="M45" s="147">
        <f t="shared" si="12"/>
        <v>0.11823957500028957</v>
      </c>
      <c r="N45" s="147">
        <f t="shared" si="13"/>
        <v>0.12567686818828455</v>
      </c>
      <c r="O45" s="164">
        <f t="shared" si="14"/>
        <v>0.13358196862240723</v>
      </c>
      <c r="P45" s="147">
        <f t="shared" si="15"/>
        <v>0</v>
      </c>
      <c r="Q45" s="147">
        <f t="shared" si="16"/>
        <v>0</v>
      </c>
      <c r="R45" s="147">
        <f t="shared" si="17"/>
        <v>0</v>
      </c>
      <c r="S45" s="156">
        <f t="shared" si="18"/>
        <v>0</v>
      </c>
      <c r="T45" s="156">
        <f t="shared" si="19"/>
        <v>0</v>
      </c>
      <c r="U45" s="165">
        <f t="shared" si="25"/>
        <v>0</v>
      </c>
      <c r="W45" s="154">
        <f t="shared" si="21"/>
        <v>0.94082209960187191</v>
      </c>
    </row>
    <row r="46" spans="1:23" x14ac:dyDescent="0.25">
      <c r="A46" s="163"/>
      <c r="B46" s="163"/>
      <c r="C46" s="438"/>
      <c r="D46" s="147" t="s">
        <v>214</v>
      </c>
      <c r="E46" s="166">
        <f t="shared" si="22"/>
        <v>0</v>
      </c>
      <c r="F46" s="167">
        <f t="shared" si="23"/>
        <v>0</v>
      </c>
      <c r="G46" s="168">
        <f t="shared" si="24"/>
        <v>0</v>
      </c>
      <c r="H46" s="147">
        <f t="shared" ref="H46:I61" si="27">H45</f>
        <v>5.9177900398128098E-2</v>
      </c>
      <c r="I46" s="164">
        <f t="shared" si="27"/>
        <v>0.4</v>
      </c>
      <c r="J46" s="164">
        <f t="shared" si="9"/>
        <v>0</v>
      </c>
      <c r="K46" s="147">
        <f t="shared" si="10"/>
        <v>0</v>
      </c>
      <c r="L46" s="147">
        <f t="shared" si="11"/>
        <v>0</v>
      </c>
      <c r="M46" s="147">
        <f t="shared" si="12"/>
        <v>0.11124240520780544</v>
      </c>
      <c r="N46" s="147">
        <f t="shared" si="13"/>
        <v>0.11823957500028957</v>
      </c>
      <c r="O46" s="164">
        <f t="shared" si="14"/>
        <v>0.12567686818828455</v>
      </c>
      <c r="P46" s="147">
        <f t="shared" si="15"/>
        <v>0</v>
      </c>
      <c r="Q46" s="147">
        <f t="shared" si="16"/>
        <v>0</v>
      </c>
      <c r="R46" s="147">
        <f t="shared" si="17"/>
        <v>0</v>
      </c>
      <c r="S46" s="156">
        <f t="shared" si="18"/>
        <v>0</v>
      </c>
      <c r="T46" s="156">
        <f t="shared" si="19"/>
        <v>0</v>
      </c>
      <c r="U46" s="165">
        <f t="shared" si="25"/>
        <v>0</v>
      </c>
      <c r="W46" s="154">
        <f t="shared" si="21"/>
        <v>0.94082209960187191</v>
      </c>
    </row>
    <row r="47" spans="1:23" x14ac:dyDescent="0.25">
      <c r="A47" s="163"/>
      <c r="B47" s="163"/>
      <c r="C47" s="438"/>
      <c r="D47" s="147" t="s">
        <v>215</v>
      </c>
      <c r="E47" s="166">
        <f t="shared" si="22"/>
        <v>0</v>
      </c>
      <c r="F47" s="167">
        <f t="shared" si="23"/>
        <v>0</v>
      </c>
      <c r="G47" s="168">
        <f t="shared" si="24"/>
        <v>0</v>
      </c>
      <c r="H47" s="147">
        <f t="shared" si="27"/>
        <v>5.9177900398128098E-2</v>
      </c>
      <c r="I47" s="164">
        <f t="shared" si="27"/>
        <v>0.4</v>
      </c>
      <c r="J47" s="164">
        <f t="shared" si="9"/>
        <v>0</v>
      </c>
      <c r="K47" s="147">
        <f t="shared" si="10"/>
        <v>0</v>
      </c>
      <c r="L47" s="147">
        <f t="shared" si="11"/>
        <v>0</v>
      </c>
      <c r="M47" s="147">
        <f t="shared" si="12"/>
        <v>0.10465931323236972</v>
      </c>
      <c r="N47" s="147">
        <f t="shared" si="13"/>
        <v>0.11124240520780544</v>
      </c>
      <c r="O47" s="164">
        <f t="shared" si="14"/>
        <v>0.11823957500028957</v>
      </c>
      <c r="P47" s="147">
        <f t="shared" si="15"/>
        <v>0</v>
      </c>
      <c r="Q47" s="147">
        <f t="shared" si="16"/>
        <v>0</v>
      </c>
      <c r="R47" s="147">
        <f t="shared" si="17"/>
        <v>0</v>
      </c>
      <c r="S47" s="156">
        <f t="shared" si="18"/>
        <v>0</v>
      </c>
      <c r="T47" s="156">
        <f t="shared" si="19"/>
        <v>0</v>
      </c>
      <c r="U47" s="165">
        <f t="shared" si="25"/>
        <v>0</v>
      </c>
      <c r="W47" s="154">
        <f t="shared" si="21"/>
        <v>0.94082209960187191</v>
      </c>
    </row>
    <row r="48" spans="1:23" x14ac:dyDescent="0.25">
      <c r="A48" s="163"/>
      <c r="B48" s="163"/>
      <c r="C48" s="438"/>
      <c r="D48" s="147" t="s">
        <v>216</v>
      </c>
      <c r="E48" s="166">
        <f t="shared" si="22"/>
        <v>0</v>
      </c>
      <c r="F48" s="167">
        <f t="shared" si="23"/>
        <v>0</v>
      </c>
      <c r="G48" s="168">
        <f t="shared" si="24"/>
        <v>0</v>
      </c>
      <c r="H48" s="147">
        <f t="shared" si="27"/>
        <v>5.9177900398128098E-2</v>
      </c>
      <c r="I48" s="164">
        <f t="shared" si="27"/>
        <v>0.4</v>
      </c>
      <c r="J48" s="164">
        <f t="shared" si="9"/>
        <v>0</v>
      </c>
      <c r="K48" s="147">
        <f t="shared" si="10"/>
        <v>0</v>
      </c>
      <c r="L48" s="147">
        <f t="shared" si="11"/>
        <v>0</v>
      </c>
      <c r="M48" s="147">
        <f t="shared" si="12"/>
        <v>9.8465794818168056E-2</v>
      </c>
      <c r="N48" s="147">
        <f t="shared" si="13"/>
        <v>0.10465931323236972</v>
      </c>
      <c r="O48" s="164">
        <f t="shared" si="14"/>
        <v>0.11124240520780544</v>
      </c>
      <c r="P48" s="147">
        <f t="shared" si="15"/>
        <v>0</v>
      </c>
      <c r="Q48" s="147">
        <f t="shared" si="16"/>
        <v>0</v>
      </c>
      <c r="R48" s="147">
        <f t="shared" si="17"/>
        <v>0</v>
      </c>
      <c r="S48" s="156">
        <f t="shared" si="18"/>
        <v>0</v>
      </c>
      <c r="T48" s="156">
        <f t="shared" si="19"/>
        <v>0</v>
      </c>
      <c r="U48" s="165">
        <f t="shared" si="25"/>
        <v>0</v>
      </c>
      <c r="W48" s="154">
        <f t="shared" si="21"/>
        <v>0.94082209960187191</v>
      </c>
    </row>
    <row r="49" spans="1:23" x14ac:dyDescent="0.25">
      <c r="A49" s="163"/>
      <c r="B49" s="163"/>
      <c r="C49" s="438"/>
      <c r="D49" s="147" t="s">
        <v>217</v>
      </c>
      <c r="E49" s="166">
        <f t="shared" si="22"/>
        <v>0</v>
      </c>
      <c r="F49" s="167">
        <f t="shared" si="23"/>
        <v>0</v>
      </c>
      <c r="G49" s="168">
        <f t="shared" si="24"/>
        <v>0</v>
      </c>
      <c r="H49" s="147">
        <f t="shared" si="27"/>
        <v>5.9177900398128098E-2</v>
      </c>
      <c r="I49" s="164">
        <f t="shared" si="27"/>
        <v>0.4</v>
      </c>
      <c r="J49" s="164">
        <f t="shared" si="9"/>
        <v>0</v>
      </c>
      <c r="K49" s="147">
        <f t="shared" si="10"/>
        <v>0</v>
      </c>
      <c r="L49" s="147">
        <f t="shared" si="11"/>
        <v>0</v>
      </c>
      <c r="M49" s="147">
        <f t="shared" si="12"/>
        <v>9.2638795819795991E-2</v>
      </c>
      <c r="N49" s="147">
        <f t="shared" si="13"/>
        <v>9.8465794818168056E-2</v>
      </c>
      <c r="O49" s="164">
        <f t="shared" si="14"/>
        <v>0.10465931323236972</v>
      </c>
      <c r="P49" s="147">
        <f t="shared" si="15"/>
        <v>0</v>
      </c>
      <c r="Q49" s="147">
        <f t="shared" si="16"/>
        <v>0</v>
      </c>
      <c r="R49" s="147">
        <f t="shared" si="17"/>
        <v>0</v>
      </c>
      <c r="S49" s="156">
        <f t="shared" si="18"/>
        <v>0</v>
      </c>
      <c r="T49" s="156">
        <f t="shared" si="19"/>
        <v>0</v>
      </c>
      <c r="U49" s="165">
        <f t="shared" si="25"/>
        <v>0</v>
      </c>
      <c r="W49" s="154">
        <f t="shared" si="21"/>
        <v>0.94082209960187191</v>
      </c>
    </row>
    <row r="50" spans="1:23" x14ac:dyDescent="0.25">
      <c r="A50" s="163"/>
      <c r="B50" s="163"/>
      <c r="C50" s="438"/>
      <c r="D50" s="147" t="s">
        <v>218</v>
      </c>
      <c r="E50" s="166">
        <f t="shared" si="22"/>
        <v>0</v>
      </c>
      <c r="F50" s="167">
        <f t="shared" si="23"/>
        <v>0</v>
      </c>
      <c r="G50" s="168">
        <f t="shared" si="24"/>
        <v>0</v>
      </c>
      <c r="H50" s="147">
        <f t="shared" si="27"/>
        <v>5.9177900398128098E-2</v>
      </c>
      <c r="I50" s="164">
        <f t="shared" si="27"/>
        <v>0.4</v>
      </c>
      <c r="J50" s="164">
        <f t="shared" si="9"/>
        <v>0</v>
      </c>
      <c r="K50" s="147">
        <f t="shared" si="10"/>
        <v>0</v>
      </c>
      <c r="L50" s="147">
        <f t="shared" si="11"/>
        <v>0</v>
      </c>
      <c r="M50" s="147">
        <f t="shared" si="12"/>
        <v>8.7156626387769581E-2</v>
      </c>
      <c r="N50" s="147">
        <f t="shared" si="13"/>
        <v>9.2638795819795991E-2</v>
      </c>
      <c r="O50" s="164">
        <f t="shared" si="14"/>
        <v>9.8465794818168056E-2</v>
      </c>
      <c r="P50" s="147">
        <f t="shared" si="15"/>
        <v>0</v>
      </c>
      <c r="Q50" s="147">
        <f t="shared" si="16"/>
        <v>0</v>
      </c>
      <c r="R50" s="147">
        <f t="shared" si="17"/>
        <v>0</v>
      </c>
      <c r="S50" s="156">
        <f t="shared" si="18"/>
        <v>0</v>
      </c>
      <c r="T50" s="156">
        <f t="shared" si="19"/>
        <v>0</v>
      </c>
      <c r="U50" s="165">
        <f t="shared" si="25"/>
        <v>0</v>
      </c>
      <c r="W50" s="154">
        <f t="shared" si="21"/>
        <v>0.94082209960187191</v>
      </c>
    </row>
    <row r="51" spans="1:23" x14ac:dyDescent="0.25">
      <c r="A51" s="163"/>
      <c r="B51" s="163"/>
      <c r="C51" s="438"/>
      <c r="D51" s="147" t="s">
        <v>219</v>
      </c>
      <c r="E51" s="166">
        <f t="shared" si="22"/>
        <v>0</v>
      </c>
      <c r="F51" s="167">
        <f t="shared" si="23"/>
        <v>0</v>
      </c>
      <c r="G51" s="168">
        <f t="shared" si="24"/>
        <v>0</v>
      </c>
      <c r="H51" s="147">
        <f t="shared" si="27"/>
        <v>5.9177900398128098E-2</v>
      </c>
      <c r="I51" s="164">
        <f t="shared" si="27"/>
        <v>0.4</v>
      </c>
      <c r="J51" s="164">
        <f t="shared" si="9"/>
        <v>0</v>
      </c>
      <c r="K51" s="147">
        <f t="shared" si="10"/>
        <v>0</v>
      </c>
      <c r="L51" s="147">
        <f t="shared" si="11"/>
        <v>0</v>
      </c>
      <c r="M51" s="147">
        <f t="shared" si="12"/>
        <v>8.1998880232357296E-2</v>
      </c>
      <c r="N51" s="147">
        <f t="shared" si="13"/>
        <v>8.7156626387769581E-2</v>
      </c>
      <c r="O51" s="164">
        <f t="shared" si="14"/>
        <v>9.2638795819795991E-2</v>
      </c>
      <c r="P51" s="147">
        <f t="shared" si="15"/>
        <v>0</v>
      </c>
      <c r="Q51" s="147">
        <f t="shared" si="16"/>
        <v>0</v>
      </c>
      <c r="R51" s="147">
        <f t="shared" si="17"/>
        <v>0</v>
      </c>
      <c r="S51" s="156">
        <f t="shared" si="18"/>
        <v>0</v>
      </c>
      <c r="T51" s="156">
        <f t="shared" si="19"/>
        <v>0</v>
      </c>
      <c r="U51" s="165">
        <f t="shared" si="25"/>
        <v>0</v>
      </c>
      <c r="W51" s="154">
        <f t="shared" si="21"/>
        <v>0.94082209960187191</v>
      </c>
    </row>
    <row r="52" spans="1:23" x14ac:dyDescent="0.25">
      <c r="A52" s="163"/>
      <c r="B52" s="163"/>
      <c r="C52" s="438"/>
      <c r="D52" s="147" t="s">
        <v>220</v>
      </c>
      <c r="E52" s="166">
        <f t="shared" si="22"/>
        <v>0</v>
      </c>
      <c r="F52" s="167">
        <f t="shared" si="23"/>
        <v>0</v>
      </c>
      <c r="G52" s="168">
        <f t="shared" si="24"/>
        <v>0</v>
      </c>
      <c r="H52" s="147">
        <f t="shared" si="27"/>
        <v>5.9177900398128098E-2</v>
      </c>
      <c r="I52" s="164">
        <f t="shared" si="27"/>
        <v>0.4</v>
      </c>
      <c r="J52" s="164">
        <f t="shared" si="9"/>
        <v>0</v>
      </c>
      <c r="K52" s="147">
        <f t="shared" si="10"/>
        <v>0</v>
      </c>
      <c r="L52" s="147">
        <f t="shared" si="11"/>
        <v>0</v>
      </c>
      <c r="M52" s="147">
        <f t="shared" si="12"/>
        <v>7.7146358665208817E-2</v>
      </c>
      <c r="N52" s="147">
        <f t="shared" si="13"/>
        <v>8.1998880232357296E-2</v>
      </c>
      <c r="O52" s="164">
        <f t="shared" si="14"/>
        <v>8.7156626387769581E-2</v>
      </c>
      <c r="P52" s="147">
        <f t="shared" si="15"/>
        <v>0</v>
      </c>
      <c r="Q52" s="147">
        <f t="shared" si="16"/>
        <v>0</v>
      </c>
      <c r="R52" s="147">
        <f t="shared" si="17"/>
        <v>0</v>
      </c>
      <c r="S52" s="156">
        <f t="shared" si="18"/>
        <v>0</v>
      </c>
      <c r="T52" s="156">
        <f t="shared" si="19"/>
        <v>0</v>
      </c>
      <c r="U52" s="165">
        <f t="shared" si="25"/>
        <v>0</v>
      </c>
      <c r="W52" s="154">
        <f t="shared" si="21"/>
        <v>0.94082209960187191</v>
      </c>
    </row>
    <row r="53" spans="1:23" x14ac:dyDescent="0.25">
      <c r="A53" s="163"/>
      <c r="B53" s="163"/>
      <c r="C53" s="438"/>
      <c r="D53" s="147" t="s">
        <v>221</v>
      </c>
      <c r="E53" s="166">
        <f t="shared" si="22"/>
        <v>0</v>
      </c>
      <c r="F53" s="167">
        <f t="shared" si="23"/>
        <v>0</v>
      </c>
      <c r="G53" s="168">
        <f t="shared" si="24"/>
        <v>0</v>
      </c>
      <c r="H53" s="147">
        <f t="shared" si="27"/>
        <v>5.9177900398128098E-2</v>
      </c>
      <c r="I53" s="164">
        <f t="shared" si="27"/>
        <v>0.4</v>
      </c>
      <c r="J53" s="164">
        <f t="shared" si="9"/>
        <v>0</v>
      </c>
      <c r="K53" s="147">
        <f t="shared" si="10"/>
        <v>0</v>
      </c>
      <c r="L53" s="147">
        <f t="shared" si="11"/>
        <v>0</v>
      </c>
      <c r="M53" s="147">
        <f t="shared" si="12"/>
        <v>7.2580999136040825E-2</v>
      </c>
      <c r="N53" s="147">
        <f t="shared" si="13"/>
        <v>7.7146358665208817E-2</v>
      </c>
      <c r="O53" s="164">
        <f t="shared" si="14"/>
        <v>8.1998880232357296E-2</v>
      </c>
      <c r="P53" s="147">
        <f t="shared" si="15"/>
        <v>0</v>
      </c>
      <c r="Q53" s="147">
        <f t="shared" si="16"/>
        <v>0</v>
      </c>
      <c r="R53" s="147">
        <f t="shared" si="17"/>
        <v>0</v>
      </c>
      <c r="S53" s="156">
        <f t="shared" si="18"/>
        <v>0</v>
      </c>
      <c r="T53" s="156">
        <f t="shared" si="19"/>
        <v>0</v>
      </c>
      <c r="U53" s="165">
        <f t="shared" si="25"/>
        <v>0</v>
      </c>
      <c r="W53" s="154">
        <f t="shared" si="21"/>
        <v>0.94082209960187191</v>
      </c>
    </row>
    <row r="54" spans="1:23" x14ac:dyDescent="0.25">
      <c r="A54" s="163"/>
      <c r="B54" s="163"/>
      <c r="C54" s="438"/>
      <c r="D54" s="147" t="s">
        <v>222</v>
      </c>
      <c r="E54" s="166">
        <f t="shared" si="22"/>
        <v>0</v>
      </c>
      <c r="F54" s="167">
        <f t="shared" si="23"/>
        <v>0</v>
      </c>
      <c r="G54" s="168">
        <f t="shared" si="24"/>
        <v>0</v>
      </c>
      <c r="H54" s="147">
        <f t="shared" si="27"/>
        <v>5.9177900398128098E-2</v>
      </c>
      <c r="I54" s="164">
        <f t="shared" si="27"/>
        <v>0.4</v>
      </c>
      <c r="J54" s="164">
        <f t="shared" si="9"/>
        <v>0</v>
      </c>
      <c r="K54" s="147">
        <f t="shared" si="10"/>
        <v>0</v>
      </c>
      <c r="L54" s="147">
        <f t="shared" si="11"/>
        <v>0</v>
      </c>
      <c r="M54" s="147">
        <f t="shared" si="12"/>
        <v>6.8285807998371584E-2</v>
      </c>
      <c r="N54" s="147">
        <f t="shared" si="13"/>
        <v>7.2580999136040825E-2</v>
      </c>
      <c r="O54" s="164">
        <f t="shared" si="14"/>
        <v>7.7146358665208817E-2</v>
      </c>
      <c r="P54" s="147">
        <f t="shared" si="15"/>
        <v>0</v>
      </c>
      <c r="Q54" s="147">
        <f t="shared" si="16"/>
        <v>0</v>
      </c>
      <c r="R54" s="147">
        <f t="shared" si="17"/>
        <v>0</v>
      </c>
      <c r="S54" s="156">
        <f t="shared" si="18"/>
        <v>0</v>
      </c>
      <c r="T54" s="156">
        <f t="shared" si="19"/>
        <v>0</v>
      </c>
      <c r="U54" s="165">
        <f t="shared" si="25"/>
        <v>0</v>
      </c>
      <c r="W54" s="154">
        <f t="shared" si="21"/>
        <v>0.94082209960187191</v>
      </c>
    </row>
    <row r="55" spans="1:23" x14ac:dyDescent="0.25">
      <c r="A55" s="163"/>
      <c r="B55" s="163"/>
      <c r="C55" s="438"/>
      <c r="D55" s="147" t="s">
        <v>223</v>
      </c>
      <c r="E55" s="166">
        <f t="shared" si="22"/>
        <v>0</v>
      </c>
      <c r="F55" s="167">
        <f t="shared" si="23"/>
        <v>0</v>
      </c>
      <c r="G55" s="168">
        <f t="shared" si="24"/>
        <v>0</v>
      </c>
      <c r="H55" s="147">
        <f t="shared" si="27"/>
        <v>5.9177900398128098E-2</v>
      </c>
      <c r="I55" s="164">
        <f t="shared" si="27"/>
        <v>0.4</v>
      </c>
      <c r="J55" s="164">
        <f t="shared" si="9"/>
        <v>0</v>
      </c>
      <c r="K55" s="147">
        <f t="shared" si="10"/>
        <v>0</v>
      </c>
      <c r="L55" s="147">
        <f t="shared" si="11"/>
        <v>0</v>
      </c>
      <c r="M55" s="147">
        <f t="shared" si="12"/>
        <v>6.4244797254038255E-2</v>
      </c>
      <c r="N55" s="147">
        <f t="shared" si="13"/>
        <v>6.8285807998371584E-2</v>
      </c>
      <c r="O55" s="164">
        <f t="shared" si="14"/>
        <v>7.2580999136040825E-2</v>
      </c>
      <c r="P55" s="147">
        <f t="shared" si="15"/>
        <v>0</v>
      </c>
      <c r="Q55" s="147">
        <f t="shared" si="16"/>
        <v>0</v>
      </c>
      <c r="R55" s="147">
        <f t="shared" si="17"/>
        <v>0</v>
      </c>
      <c r="S55" s="156">
        <f t="shared" si="18"/>
        <v>0</v>
      </c>
      <c r="T55" s="156">
        <f t="shared" si="19"/>
        <v>0</v>
      </c>
      <c r="U55" s="165">
        <f t="shared" si="25"/>
        <v>0</v>
      </c>
      <c r="W55" s="154">
        <f t="shared" si="21"/>
        <v>0.94082209960187191</v>
      </c>
    </row>
    <row r="56" spans="1:23" x14ac:dyDescent="0.25">
      <c r="A56" s="163"/>
      <c r="B56" s="163"/>
      <c r="C56" s="438"/>
      <c r="D56" s="147" t="s">
        <v>224</v>
      </c>
      <c r="E56" s="166">
        <f t="shared" si="22"/>
        <v>0</v>
      </c>
      <c r="F56" s="167">
        <f t="shared" si="23"/>
        <v>0</v>
      </c>
      <c r="G56" s="168">
        <f t="shared" si="24"/>
        <v>0</v>
      </c>
      <c r="H56" s="147">
        <f t="shared" si="27"/>
        <v>5.9177900398128098E-2</v>
      </c>
      <c r="I56" s="164">
        <f t="shared" si="27"/>
        <v>0.4</v>
      </c>
      <c r="J56" s="164">
        <f t="shared" si="9"/>
        <v>0</v>
      </c>
      <c r="K56" s="147">
        <f t="shared" si="10"/>
        <v>0</v>
      </c>
      <c r="L56" s="147">
        <f t="shared" si="11"/>
        <v>0</v>
      </c>
      <c r="M56" s="147">
        <f t="shared" si="12"/>
        <v>6.0442925041040846E-2</v>
      </c>
      <c r="N56" s="147">
        <f t="shared" si="13"/>
        <v>6.4244797254038255E-2</v>
      </c>
      <c r="O56" s="164">
        <f t="shared" si="14"/>
        <v>6.8285807998371584E-2</v>
      </c>
      <c r="P56" s="147">
        <f t="shared" si="15"/>
        <v>0</v>
      </c>
      <c r="Q56" s="147">
        <f t="shared" si="16"/>
        <v>0</v>
      </c>
      <c r="R56" s="147">
        <f t="shared" si="17"/>
        <v>0</v>
      </c>
      <c r="S56" s="156">
        <f t="shared" si="18"/>
        <v>0</v>
      </c>
      <c r="T56" s="156">
        <f t="shared" si="19"/>
        <v>0</v>
      </c>
      <c r="U56" s="165">
        <f t="shared" si="25"/>
        <v>0</v>
      </c>
      <c r="W56" s="154">
        <f t="shared" si="21"/>
        <v>0.94082209960187191</v>
      </c>
    </row>
    <row r="57" spans="1:23" x14ac:dyDescent="0.25">
      <c r="A57" s="163"/>
      <c r="B57" s="163"/>
      <c r="C57" s="438"/>
      <c r="D57" s="147" t="s">
        <v>225</v>
      </c>
      <c r="E57" s="166">
        <f t="shared" si="22"/>
        <v>0</v>
      </c>
      <c r="F57" s="167">
        <f t="shared" si="23"/>
        <v>0</v>
      </c>
      <c r="G57" s="168">
        <f t="shared" si="24"/>
        <v>0</v>
      </c>
      <c r="H57" s="147">
        <f t="shared" si="27"/>
        <v>5.9177900398128098E-2</v>
      </c>
      <c r="I57" s="164">
        <f t="shared" si="27"/>
        <v>0.4</v>
      </c>
      <c r="J57" s="164">
        <f t="shared" si="9"/>
        <v>0</v>
      </c>
      <c r="K57" s="147">
        <f t="shared" si="10"/>
        <v>0</v>
      </c>
      <c r="L57" s="147">
        <f t="shared" si="11"/>
        <v>0</v>
      </c>
      <c r="M57" s="147">
        <f t="shared" si="12"/>
        <v>5.6866039643190605E-2</v>
      </c>
      <c r="N57" s="147">
        <f t="shared" si="13"/>
        <v>6.0442925041040846E-2</v>
      </c>
      <c r="O57" s="164">
        <f t="shared" si="14"/>
        <v>6.4244797254038255E-2</v>
      </c>
      <c r="P57" s="147">
        <f t="shared" si="15"/>
        <v>0</v>
      </c>
      <c r="Q57" s="147">
        <f t="shared" si="16"/>
        <v>0</v>
      </c>
      <c r="R57" s="147">
        <f t="shared" si="17"/>
        <v>0</v>
      </c>
      <c r="S57" s="156">
        <f t="shared" si="18"/>
        <v>0</v>
      </c>
      <c r="T57" s="156">
        <f t="shared" si="19"/>
        <v>0</v>
      </c>
      <c r="U57" s="165">
        <f t="shared" si="25"/>
        <v>0</v>
      </c>
      <c r="W57" s="154">
        <f t="shared" si="21"/>
        <v>0.94082209960187191</v>
      </c>
    </row>
    <row r="58" spans="1:23" x14ac:dyDescent="0.25">
      <c r="A58" s="163"/>
      <c r="B58" s="163"/>
      <c r="C58" s="438"/>
      <c r="D58" s="147" t="s">
        <v>226</v>
      </c>
      <c r="E58" s="166">
        <f t="shared" si="22"/>
        <v>0</v>
      </c>
      <c r="F58" s="167">
        <f t="shared" si="23"/>
        <v>0</v>
      </c>
      <c r="G58" s="168">
        <f t="shared" si="24"/>
        <v>0</v>
      </c>
      <c r="H58" s="147">
        <f t="shared" si="27"/>
        <v>5.9177900398128098E-2</v>
      </c>
      <c r="I58" s="164">
        <f t="shared" si="27"/>
        <v>0.4</v>
      </c>
      <c r="J58" s="164">
        <f t="shared" si="9"/>
        <v>0</v>
      </c>
      <c r="K58" s="147">
        <f t="shared" si="10"/>
        <v>0</v>
      </c>
      <c r="L58" s="147">
        <f t="shared" si="11"/>
        <v>0</v>
      </c>
      <c r="M58" s="147">
        <f t="shared" si="12"/>
        <v>5.3500826813149868E-2</v>
      </c>
      <c r="N58" s="147">
        <f t="shared" si="13"/>
        <v>5.6866039643190605E-2</v>
      </c>
      <c r="O58" s="164">
        <f t="shared" si="14"/>
        <v>6.0442925041040846E-2</v>
      </c>
      <c r="P58" s="147">
        <f t="shared" si="15"/>
        <v>0</v>
      </c>
      <c r="Q58" s="147">
        <f t="shared" si="16"/>
        <v>0</v>
      </c>
      <c r="R58" s="147">
        <f t="shared" si="17"/>
        <v>0</v>
      </c>
      <c r="S58" s="156">
        <f t="shared" si="18"/>
        <v>0</v>
      </c>
      <c r="T58" s="156">
        <f t="shared" si="19"/>
        <v>0</v>
      </c>
      <c r="U58" s="165">
        <f t="shared" si="25"/>
        <v>0</v>
      </c>
      <c r="W58" s="154">
        <f t="shared" si="21"/>
        <v>0.94082209960187191</v>
      </c>
    </row>
    <row r="59" spans="1:23" x14ac:dyDescent="0.25">
      <c r="A59" s="163"/>
      <c r="B59" s="163"/>
      <c r="C59" s="438"/>
      <c r="D59" s="147" t="s">
        <v>227</v>
      </c>
      <c r="E59" s="166">
        <f t="shared" si="22"/>
        <v>0</v>
      </c>
      <c r="F59" s="167">
        <f t="shared" si="23"/>
        <v>0</v>
      </c>
      <c r="G59" s="168">
        <f t="shared" si="24"/>
        <v>0</v>
      </c>
      <c r="H59" s="147">
        <f t="shared" si="27"/>
        <v>5.9177900398128098E-2</v>
      </c>
      <c r="I59" s="164">
        <f t="shared" si="27"/>
        <v>0.4</v>
      </c>
      <c r="J59" s="147">
        <f t="shared" si="9"/>
        <v>0</v>
      </c>
      <c r="K59" s="147">
        <f t="shared" si="10"/>
        <v>0</v>
      </c>
      <c r="L59" s="147">
        <f t="shared" si="11"/>
        <v>0</v>
      </c>
      <c r="M59" s="147">
        <f t="shared" si="12"/>
        <v>5.0334760212783783E-2</v>
      </c>
      <c r="N59" s="147">
        <f t="shared" si="13"/>
        <v>5.3500826813149868E-2</v>
      </c>
      <c r="O59" s="164">
        <f t="shared" si="14"/>
        <v>5.6866039643190605E-2</v>
      </c>
      <c r="P59" s="147">
        <f t="shared" si="15"/>
        <v>0</v>
      </c>
      <c r="Q59" s="147">
        <f t="shared" si="16"/>
        <v>0</v>
      </c>
      <c r="R59" s="147">
        <f t="shared" si="17"/>
        <v>0</v>
      </c>
      <c r="S59" s="156">
        <f t="shared" si="18"/>
        <v>0</v>
      </c>
      <c r="T59" s="156">
        <f t="shared" si="19"/>
        <v>0</v>
      </c>
      <c r="U59" s="165">
        <f t="shared" si="25"/>
        <v>0</v>
      </c>
      <c r="W59" s="154">
        <f t="shared" si="21"/>
        <v>0.94082209960187191</v>
      </c>
    </row>
    <row r="60" spans="1:23" x14ac:dyDescent="0.25">
      <c r="A60" s="163"/>
      <c r="B60" s="163"/>
      <c r="C60" s="438"/>
      <c r="D60" s="147" t="s">
        <v>228</v>
      </c>
      <c r="E60" s="166">
        <f t="shared" si="22"/>
        <v>0</v>
      </c>
      <c r="F60" s="167">
        <f t="shared" si="23"/>
        <v>0</v>
      </c>
      <c r="G60" s="168">
        <f t="shared" si="24"/>
        <v>0</v>
      </c>
      <c r="H60" s="147">
        <f t="shared" si="27"/>
        <v>5.9177900398128098E-2</v>
      </c>
      <c r="I60" s="164">
        <f t="shared" si="27"/>
        <v>0.4</v>
      </c>
      <c r="J60" s="147">
        <f t="shared" si="9"/>
        <v>0</v>
      </c>
      <c r="K60" s="147">
        <f t="shared" si="10"/>
        <v>0</v>
      </c>
      <c r="L60" s="147">
        <f t="shared" si="11"/>
        <v>0</v>
      </c>
      <c r="M60" s="147">
        <f t="shared" si="12"/>
        <v>4.7356054786348002E-2</v>
      </c>
      <c r="N60" s="147">
        <f t="shared" si="13"/>
        <v>5.0334760212783783E-2</v>
      </c>
      <c r="O60" s="164">
        <f t="shared" si="14"/>
        <v>5.3500826813149868E-2</v>
      </c>
      <c r="P60" s="147">
        <f t="shared" si="15"/>
        <v>0</v>
      </c>
      <c r="Q60" s="147">
        <f t="shared" si="16"/>
        <v>0</v>
      </c>
      <c r="R60" s="147">
        <f t="shared" si="17"/>
        <v>0</v>
      </c>
      <c r="S60" s="156">
        <f t="shared" si="18"/>
        <v>0</v>
      </c>
      <c r="T60" s="156">
        <f t="shared" si="19"/>
        <v>0</v>
      </c>
      <c r="U60" s="165">
        <f t="shared" si="25"/>
        <v>0</v>
      </c>
      <c r="W60" s="154">
        <f t="shared" si="21"/>
        <v>0.94082209960187191</v>
      </c>
    </row>
    <row r="61" spans="1:23" x14ac:dyDescent="0.25">
      <c r="A61" s="163"/>
      <c r="B61" s="163"/>
      <c r="C61" s="426"/>
      <c r="D61" s="157" t="s">
        <v>229</v>
      </c>
      <c r="E61" s="169">
        <f t="shared" si="22"/>
        <v>0</v>
      </c>
      <c r="F61" s="170">
        <f t="shared" si="23"/>
        <v>0</v>
      </c>
      <c r="G61" s="171">
        <f t="shared" si="24"/>
        <v>0</v>
      </c>
      <c r="H61" s="157">
        <f t="shared" si="27"/>
        <v>5.9177900398128098E-2</v>
      </c>
      <c r="I61" s="172">
        <f t="shared" si="27"/>
        <v>0.4</v>
      </c>
      <c r="J61" s="157">
        <f t="shared" si="9"/>
        <v>0</v>
      </c>
      <c r="K61" s="157">
        <f t="shared" si="10"/>
        <v>0</v>
      </c>
      <c r="L61" s="157">
        <f t="shared" si="11"/>
        <v>0</v>
      </c>
      <c r="M61" s="157">
        <f t="shared" si="12"/>
        <v>4.4553622892953205E-2</v>
      </c>
      <c r="N61" s="157">
        <f t="shared" si="13"/>
        <v>4.7356054786348002E-2</v>
      </c>
      <c r="O61" s="172">
        <f t="shared" si="14"/>
        <v>5.0334760212783783E-2</v>
      </c>
      <c r="P61" s="157">
        <f t="shared" si="15"/>
        <v>0</v>
      </c>
      <c r="Q61" s="157">
        <f t="shared" si="16"/>
        <v>0</v>
      </c>
      <c r="R61" s="157">
        <f t="shared" si="17"/>
        <v>0</v>
      </c>
      <c r="S61" s="173">
        <f t="shared" si="18"/>
        <v>0</v>
      </c>
      <c r="T61" s="173">
        <f t="shared" si="19"/>
        <v>0</v>
      </c>
      <c r="U61" s="174">
        <f t="shared" si="25"/>
        <v>0</v>
      </c>
      <c r="W61" s="182">
        <f t="shared" si="21"/>
        <v>0.94082209960187191</v>
      </c>
    </row>
    <row r="62" spans="1:23" x14ac:dyDescent="0.25">
      <c r="V62" s="114"/>
    </row>
    <row r="63" spans="1:23" x14ac:dyDescent="0.25">
      <c r="P63" s="138" t="s">
        <v>230</v>
      </c>
      <c r="Q63" s="138" t="s">
        <v>230</v>
      </c>
      <c r="R63" s="138" t="s">
        <v>230</v>
      </c>
      <c r="S63" s="183" t="s">
        <v>231</v>
      </c>
      <c r="T63" s="122" t="s">
        <v>231</v>
      </c>
      <c r="U63" s="122" t="s">
        <v>231</v>
      </c>
    </row>
    <row r="64" spans="1:23" x14ac:dyDescent="0.25">
      <c r="O64" s="184" t="s">
        <v>11</v>
      </c>
      <c r="P64" s="185">
        <f>S64/$E$9</f>
        <v>6.7571798176599127E-2</v>
      </c>
      <c r="Q64" s="186"/>
      <c r="R64" s="186"/>
      <c r="S64" s="187">
        <f>SUM(S11:S59)</f>
        <v>6.757179817659912</v>
      </c>
      <c r="T64" s="114"/>
      <c r="U64" s="114"/>
      <c r="V64" s="145"/>
    </row>
    <row r="65" spans="15:21" x14ac:dyDescent="0.25">
      <c r="O65" s="184" t="s">
        <v>12</v>
      </c>
      <c r="P65" s="185"/>
      <c r="Q65" s="185">
        <f>T65/$E$9</f>
        <v>5.4044570640920823E-2</v>
      </c>
      <c r="R65" s="186"/>
      <c r="S65" s="145"/>
      <c r="T65" s="187">
        <f>SUM(T12:T59)</f>
        <v>5.4044570640920826</v>
      </c>
    </row>
    <row r="66" spans="15:21" x14ac:dyDescent="0.25">
      <c r="O66" s="188" t="s">
        <v>13</v>
      </c>
      <c r="P66" s="185"/>
      <c r="Q66" s="186"/>
      <c r="R66" s="185">
        <f>U66/$E$9</f>
        <v>4.0143349373472505E-2</v>
      </c>
      <c r="S66" s="145"/>
      <c r="T66" s="145"/>
      <c r="U66" s="187">
        <f>SUM(U13:U59)</f>
        <v>4.0143349373472503</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66"/>
  <sheetViews>
    <sheetView zoomScale="70" zoomScaleNormal="70" workbookViewId="0"/>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246</v>
      </c>
      <c r="K1" s="114" t="s">
        <v>247</v>
      </c>
    </row>
    <row r="2" spans="1:27" x14ac:dyDescent="0.25">
      <c r="B2" s="114" t="s">
        <v>157</v>
      </c>
      <c r="C2" s="115" t="s">
        <v>158</v>
      </c>
      <c r="D2" s="116">
        <f>Sovereign!D52</f>
        <v>5</v>
      </c>
      <c r="F2" s="114" t="s">
        <v>159</v>
      </c>
      <c r="G2" s="117" t="s">
        <v>160</v>
      </c>
      <c r="I2" s="114" t="s">
        <v>11</v>
      </c>
      <c r="J2" s="249">
        <f>Sovereign!O33</f>
        <v>5.9177900398128098E-2</v>
      </c>
      <c r="K2" s="249">
        <v>0.4</v>
      </c>
    </row>
    <row r="3" spans="1:27" x14ac:dyDescent="0.25">
      <c r="C3" s="115" t="s">
        <v>161</v>
      </c>
      <c r="D3" s="115"/>
      <c r="I3" s="114" t="s">
        <v>12</v>
      </c>
      <c r="J3" s="249">
        <f>Sovereign!O39</f>
        <v>5.9177900398128098E-2</v>
      </c>
      <c r="K3" s="249">
        <v>0.4</v>
      </c>
    </row>
    <row r="4" spans="1:27" x14ac:dyDescent="0.25">
      <c r="C4" s="115" t="s">
        <v>162</v>
      </c>
      <c r="D4" s="115"/>
      <c r="I4" s="114" t="s">
        <v>13</v>
      </c>
      <c r="J4" s="249">
        <f>Sovereign!O45</f>
        <v>5.9177900398128098E-2</v>
      </c>
      <c r="K4" s="249">
        <v>0.4</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adverse (sov)'!J2</f>
        <v>5.9177900398128098E-2</v>
      </c>
      <c r="I10" s="150">
        <f>'Processor LT adverse (sov)'!K2</f>
        <v>0.4</v>
      </c>
      <c r="J10" s="150">
        <f>I10*E10/100</f>
        <v>0.4</v>
      </c>
      <c r="K10" s="150"/>
      <c r="L10" s="150"/>
      <c r="M10" s="151">
        <v>1</v>
      </c>
      <c r="N10" s="152"/>
      <c r="O10" s="152"/>
      <c r="P10" s="152">
        <f>H10*J10*M10</f>
        <v>2.3671160159251241E-2</v>
      </c>
      <c r="Q10" s="152"/>
      <c r="R10" s="152"/>
      <c r="S10" s="153">
        <f>P10*$E10</f>
        <v>2.3671160159251241</v>
      </c>
      <c r="T10" s="144"/>
      <c r="U10" s="144"/>
      <c r="W10" s="154">
        <f t="shared" ref="W10:W13" si="0">1-H10</f>
        <v>0.94082209960187191</v>
      </c>
    </row>
    <row r="11" spans="1:27" x14ac:dyDescent="0.25">
      <c r="C11" s="438"/>
      <c r="D11" s="147" t="s">
        <v>12</v>
      </c>
      <c r="E11" s="148">
        <f>IF($D$2&gt;1,100,0)</f>
        <v>100</v>
      </c>
      <c r="F11" s="148">
        <v>100</v>
      </c>
      <c r="G11" s="148">
        <v>100</v>
      </c>
      <c r="H11" s="149">
        <f>'Processor LT adverse (sov)'!J3</f>
        <v>5.9177900398128098E-2</v>
      </c>
      <c r="I11" s="150">
        <f>'Processor LT adverse (sov)'!K3</f>
        <v>0.4</v>
      </c>
      <c r="J11" s="150">
        <f>I11*E11/100</f>
        <v>0.4</v>
      </c>
      <c r="K11" s="150">
        <f>I11*F11/100</f>
        <v>0.4</v>
      </c>
      <c r="L11" s="150"/>
      <c r="M11" s="360">
        <f>M10*W10</f>
        <v>0.94082209960187191</v>
      </c>
      <c r="N11" s="151">
        <v>1</v>
      </c>
      <c r="O11" s="155"/>
      <c r="P11" s="152">
        <f t="shared" ref="P11:P13" si="1">H11*J11*M11</f>
        <v>2.2270350601038932E-2</v>
      </c>
      <c r="Q11" s="152">
        <f>N11*K11*H11</f>
        <v>2.3671160159251241E-2</v>
      </c>
      <c r="R11" s="152"/>
      <c r="S11" s="156">
        <f>P11*$E11</f>
        <v>2.2270350601038933</v>
      </c>
      <c r="T11" s="153">
        <f t="shared" ref="T11:T13" si="2">Q11*$F11</f>
        <v>2.3671160159251241</v>
      </c>
      <c r="U11" s="144"/>
      <c r="W11" s="154">
        <f t="shared" si="0"/>
        <v>0.94082209960187191</v>
      </c>
    </row>
    <row r="12" spans="1:27" x14ac:dyDescent="0.25">
      <c r="C12" s="426"/>
      <c r="D12" s="157" t="s">
        <v>13</v>
      </c>
      <c r="E12" s="158">
        <f>IF($D$2&gt;2,100,0)</f>
        <v>100</v>
      </c>
      <c r="F12" s="140">
        <f>IF($D$2&gt;1,100,0)</f>
        <v>100</v>
      </c>
      <c r="G12" s="159">
        <v>100</v>
      </c>
      <c r="H12" s="160">
        <f>'Processor LT adverse (sov)'!J4</f>
        <v>5.9177900398128098E-2</v>
      </c>
      <c r="I12" s="161">
        <f>'Processor LT adverse (sov)'!K4</f>
        <v>0.4</v>
      </c>
      <c r="J12" s="161">
        <f>I12*E12/100</f>
        <v>0.4</v>
      </c>
      <c r="K12" s="161">
        <f>I12*F12/100</f>
        <v>0.4</v>
      </c>
      <c r="L12" s="161">
        <f>I12*G12/100</f>
        <v>0.4</v>
      </c>
      <c r="M12" s="142">
        <f t="shared" ref="M12:M13" si="3">M11*W11</f>
        <v>0.8851462230992746</v>
      </c>
      <c r="N12" s="142">
        <f>N11*W11</f>
        <v>0.94082209960187191</v>
      </c>
      <c r="O12" s="162">
        <v>1</v>
      </c>
      <c r="P12" s="142">
        <f t="shared" si="1"/>
        <v>2.095243801133926E-2</v>
      </c>
      <c r="Q12" s="142">
        <f t="shared" ref="Q12:Q13" si="4">N12*K12*H12</f>
        <v>2.2270350601038932E-2</v>
      </c>
      <c r="R12" s="142">
        <f>H12*L12*O12</f>
        <v>2.3671160159251241E-2</v>
      </c>
      <c r="S12" s="156">
        <f>P12*$E12</f>
        <v>2.0952438011339258</v>
      </c>
      <c r="T12" s="156">
        <f t="shared" si="2"/>
        <v>2.2270350601038933</v>
      </c>
      <c r="U12" s="153">
        <f t="shared" ref="U12:U13" si="5">R12*$G12</f>
        <v>2.3671160159251241</v>
      </c>
      <c r="W12" s="154">
        <f t="shared" si="0"/>
        <v>0.94082209960187191</v>
      </c>
    </row>
    <row r="13" spans="1:27" x14ac:dyDescent="0.25">
      <c r="A13" s="163"/>
      <c r="C13" s="439" t="s">
        <v>179</v>
      </c>
      <c r="D13" s="147" t="s">
        <v>180</v>
      </c>
      <c r="E13" s="148">
        <f>IF($D$2&gt;3,100,0)</f>
        <v>100</v>
      </c>
      <c r="F13" s="148">
        <f>IF($D$2&gt;2,100,0)</f>
        <v>100</v>
      </c>
      <c r="G13" s="148">
        <f>IF($D$2&gt;1,100,0)</f>
        <v>100</v>
      </c>
      <c r="H13" s="147">
        <f t="shared" ref="H13:H18" si="6">($H$19-$H$12)/7+H12</f>
        <v>5.9177900398128098E-2</v>
      </c>
      <c r="I13" s="147">
        <f t="shared" ref="I13:I18" si="7">($I$19-$I$12)/7+I12</f>
        <v>0.4</v>
      </c>
      <c r="J13" s="164">
        <f>I13*E13/100</f>
        <v>0.4</v>
      </c>
      <c r="K13" s="164">
        <f>I13*F13/100</f>
        <v>0.4</v>
      </c>
      <c r="L13" s="164">
        <f>I13*G13/100</f>
        <v>0.4</v>
      </c>
      <c r="M13" s="164">
        <f t="shared" si="3"/>
        <v>0.83276512807092651</v>
      </c>
      <c r="N13" s="164">
        <f t="shared" ref="N13" si="8">N12*W12</f>
        <v>0.8851462230992746</v>
      </c>
      <c r="O13" s="164">
        <f>O12*W12</f>
        <v>0.94082209960187191</v>
      </c>
      <c r="P13" s="164">
        <f t="shared" si="1"/>
        <v>1.9712516721606274E-2</v>
      </c>
      <c r="Q13" s="164">
        <f t="shared" si="4"/>
        <v>2.095243801133926E-2</v>
      </c>
      <c r="R13" s="164">
        <f t="shared" ref="R13" si="9">H13*L13*O13</f>
        <v>2.2270350601038932E-2</v>
      </c>
      <c r="S13" s="156">
        <f>P13*$E13</f>
        <v>1.9712516721606275</v>
      </c>
      <c r="T13" s="156">
        <f t="shared" si="2"/>
        <v>2.0952438011339258</v>
      </c>
      <c r="U13" s="165">
        <f t="shared" si="5"/>
        <v>2.2270350601038933</v>
      </c>
      <c r="W13" s="154">
        <f t="shared" si="0"/>
        <v>0.94082209960187191</v>
      </c>
    </row>
    <row r="14" spans="1:27" x14ac:dyDescent="0.25">
      <c r="A14" s="163"/>
      <c r="B14" s="163"/>
      <c r="C14" s="440"/>
      <c r="D14" s="147" t="s">
        <v>181</v>
      </c>
      <c r="E14" s="166">
        <f>IF(E13&gt;0.1,-100/($D$2-3)+E13,0)</f>
        <v>50</v>
      </c>
      <c r="F14" s="167">
        <f>IF(F13&gt;0.1,-100/($D$2-2)+F13,0)</f>
        <v>66.666666666666657</v>
      </c>
      <c r="G14" s="168">
        <f>IF(G13&gt;0.1,-100/($D$2-1)+G13,0)</f>
        <v>75</v>
      </c>
      <c r="H14" s="147">
        <f t="shared" si="6"/>
        <v>5.9177900398128098E-2</v>
      </c>
      <c r="I14" s="164">
        <f t="shared" si="7"/>
        <v>0.4</v>
      </c>
      <c r="J14" s="164">
        <f t="shared" ref="J14:J59" si="10">I14*E14/100</f>
        <v>0.2</v>
      </c>
      <c r="K14" s="164">
        <f t="shared" ref="K14:K59" si="11">I14*F14/100</f>
        <v>0.26666666666666666</v>
      </c>
      <c r="L14" s="164">
        <f t="shared" ref="L14:L59" si="12">I14*G14/100</f>
        <v>0.3</v>
      </c>
      <c r="M14" s="164">
        <f t="shared" ref="M14:M59" si="13">M13*W13</f>
        <v>0.78348383626691087</v>
      </c>
      <c r="N14" s="164">
        <f t="shared" ref="N14:N59" si="14">N13*W13</f>
        <v>0.83276512807092651</v>
      </c>
      <c r="O14" s="164">
        <f t="shared" ref="O14:O59" si="15">O13*W13</f>
        <v>0.8851462230992746</v>
      </c>
      <c r="P14" s="164">
        <f t="shared" ref="P14:P59" si="16">H14*J14*M14</f>
        <v>9.2729856852293117E-3</v>
      </c>
      <c r="Q14" s="164">
        <f t="shared" ref="Q14:Q59" si="17">N14*K14*H14</f>
        <v>1.314167781440418E-2</v>
      </c>
      <c r="R14" s="164">
        <f t="shared" ref="R14:R59" si="18">H14*L14*O14</f>
        <v>1.5714328508504443E-2</v>
      </c>
      <c r="S14" s="156">
        <f t="shared" ref="S14:S59" si="19">P14*$E14</f>
        <v>0.46364928426146557</v>
      </c>
      <c r="T14" s="156">
        <f t="shared" ref="T14:T59" si="20">Q14*$F14</f>
        <v>0.87611185429361194</v>
      </c>
      <c r="U14" s="165">
        <f t="shared" ref="U14:U22" si="21">R14*$G14</f>
        <v>1.1785746381378333</v>
      </c>
      <c r="W14" s="154">
        <f t="shared" ref="W14:W61" si="22">1-H14</f>
        <v>0.94082209960187191</v>
      </c>
    </row>
    <row r="15" spans="1:27" x14ac:dyDescent="0.25">
      <c r="A15" s="163"/>
      <c r="B15" s="163"/>
      <c r="C15" s="440"/>
      <c r="D15" s="147" t="s">
        <v>182</v>
      </c>
      <c r="E15" s="166">
        <f t="shared" ref="E15:E59" si="23">IF(E14&gt;0.1,-100/($D$2-3)+E14,0)</f>
        <v>0</v>
      </c>
      <c r="F15" s="167">
        <f t="shared" ref="F15:F59" si="24">IF(F14&gt;0.1,-100/($D$2-2)+F14,0)</f>
        <v>33.333333333333321</v>
      </c>
      <c r="G15" s="168">
        <f t="shared" ref="G15:G59" si="25">IF(G14&gt;0.1,-100/($D$2-1)+G14,0)</f>
        <v>50</v>
      </c>
      <c r="H15" s="147">
        <f t="shared" si="6"/>
        <v>5.9177900398128098E-2</v>
      </c>
      <c r="I15" s="164">
        <f t="shared" si="7"/>
        <v>0.4</v>
      </c>
      <c r="J15" s="164">
        <f t="shared" si="10"/>
        <v>0</v>
      </c>
      <c r="K15" s="164">
        <f t="shared" si="11"/>
        <v>0.13333333333333328</v>
      </c>
      <c r="L15" s="164">
        <f t="shared" si="12"/>
        <v>0.2</v>
      </c>
      <c r="M15" s="164">
        <f t="shared" si="13"/>
        <v>0.73711890784076428</v>
      </c>
      <c r="N15" s="164">
        <f t="shared" si="14"/>
        <v>0.78348383626691087</v>
      </c>
      <c r="O15" s="164">
        <f t="shared" si="15"/>
        <v>0.83276512807092651</v>
      </c>
      <c r="P15" s="164">
        <f t="shared" si="16"/>
        <v>0</v>
      </c>
      <c r="Q15" s="164">
        <f t="shared" si="17"/>
        <v>6.181990456819538E-3</v>
      </c>
      <c r="R15" s="164">
        <f t="shared" si="18"/>
        <v>9.8562583608031371E-3</v>
      </c>
      <c r="S15" s="156">
        <f t="shared" si="19"/>
        <v>0</v>
      </c>
      <c r="T15" s="156">
        <f t="shared" si="20"/>
        <v>0.2060663485606512</v>
      </c>
      <c r="U15" s="165">
        <f t="shared" si="21"/>
        <v>0.49281291804015687</v>
      </c>
      <c r="W15" s="154">
        <f t="shared" si="22"/>
        <v>0.94082209960187191</v>
      </c>
    </row>
    <row r="16" spans="1:27" x14ac:dyDescent="0.25">
      <c r="A16" s="163"/>
      <c r="B16" s="163"/>
      <c r="C16" s="440"/>
      <c r="D16" s="147" t="s">
        <v>183</v>
      </c>
      <c r="E16" s="166">
        <f t="shared" si="23"/>
        <v>0</v>
      </c>
      <c r="F16" s="167">
        <f t="shared" si="24"/>
        <v>-1.4210854715202004E-14</v>
      </c>
      <c r="G16" s="168">
        <f t="shared" si="25"/>
        <v>25</v>
      </c>
      <c r="H16" s="147">
        <f t="shared" si="6"/>
        <v>5.9177900398128098E-2</v>
      </c>
      <c r="I16" s="164">
        <f t="shared" si="7"/>
        <v>0.4</v>
      </c>
      <c r="J16" s="164">
        <f t="shared" si="10"/>
        <v>0</v>
      </c>
      <c r="K16" s="164">
        <f t="shared" si="11"/>
        <v>-5.6843418860808016E-17</v>
      </c>
      <c r="L16" s="164">
        <f t="shared" si="12"/>
        <v>0.1</v>
      </c>
      <c r="M16" s="164">
        <f t="shared" si="13"/>
        <v>0.69349775853098661</v>
      </c>
      <c r="N16" s="164">
        <f t="shared" si="14"/>
        <v>0.73711890784076428</v>
      </c>
      <c r="O16" s="164">
        <f t="shared" si="15"/>
        <v>0.78348383626691087</v>
      </c>
      <c r="P16" s="164">
        <f t="shared" si="16"/>
        <v>0</v>
      </c>
      <c r="Q16" s="164">
        <f t="shared" si="17"/>
        <v>-2.4795752614055409E-18</v>
      </c>
      <c r="R16" s="164">
        <f t="shared" si="18"/>
        <v>4.6364928426146559E-3</v>
      </c>
      <c r="S16" s="156">
        <f t="shared" si="19"/>
        <v>0</v>
      </c>
      <c r="T16" s="156">
        <f t="shared" si="20"/>
        <v>3.5236883795243172E-32</v>
      </c>
      <c r="U16" s="165">
        <f t="shared" si="21"/>
        <v>0.11591232106536639</v>
      </c>
      <c r="W16" s="154">
        <f t="shared" si="22"/>
        <v>0.94082209960187191</v>
      </c>
    </row>
    <row r="17" spans="1:27" x14ac:dyDescent="0.25">
      <c r="A17" s="163"/>
      <c r="B17" s="163"/>
      <c r="C17" s="440"/>
      <c r="D17" s="147" t="s">
        <v>184</v>
      </c>
      <c r="E17" s="166">
        <f t="shared" si="23"/>
        <v>0</v>
      </c>
      <c r="F17" s="167">
        <f t="shared" si="24"/>
        <v>0</v>
      </c>
      <c r="G17" s="168">
        <f t="shared" si="25"/>
        <v>0</v>
      </c>
      <c r="H17" s="147">
        <f t="shared" si="6"/>
        <v>5.9177900398128098E-2</v>
      </c>
      <c r="I17" s="164">
        <f t="shared" si="7"/>
        <v>0.4</v>
      </c>
      <c r="J17" s="164">
        <f t="shared" si="10"/>
        <v>0</v>
      </c>
      <c r="K17" s="164">
        <f t="shared" si="11"/>
        <v>0</v>
      </c>
      <c r="L17" s="164">
        <f t="shared" si="12"/>
        <v>0</v>
      </c>
      <c r="M17" s="164">
        <f t="shared" si="13"/>
        <v>0.65245801725031483</v>
      </c>
      <c r="N17" s="164">
        <f t="shared" si="14"/>
        <v>0.69349775853098661</v>
      </c>
      <c r="O17" s="164">
        <f t="shared" si="15"/>
        <v>0.73711890784076428</v>
      </c>
      <c r="P17" s="164">
        <f t="shared" si="16"/>
        <v>0</v>
      </c>
      <c r="Q17" s="164">
        <f t="shared" si="17"/>
        <v>0</v>
      </c>
      <c r="R17" s="164">
        <f t="shared" si="18"/>
        <v>0</v>
      </c>
      <c r="S17" s="156">
        <f t="shared" si="19"/>
        <v>0</v>
      </c>
      <c r="T17" s="156">
        <f t="shared" si="20"/>
        <v>0</v>
      </c>
      <c r="U17" s="165">
        <f t="shared" si="21"/>
        <v>0</v>
      </c>
      <c r="W17" s="154">
        <f t="shared" si="22"/>
        <v>0.94082209960187191</v>
      </c>
    </row>
    <row r="18" spans="1:27" x14ac:dyDescent="0.25">
      <c r="A18" s="163"/>
      <c r="B18" s="163"/>
      <c r="C18" s="428"/>
      <c r="D18" s="157" t="s">
        <v>185</v>
      </c>
      <c r="E18" s="169">
        <f t="shared" si="23"/>
        <v>0</v>
      </c>
      <c r="F18" s="170">
        <f t="shared" si="24"/>
        <v>0</v>
      </c>
      <c r="G18" s="171">
        <f t="shared" si="25"/>
        <v>0</v>
      </c>
      <c r="H18" s="157">
        <f t="shared" si="6"/>
        <v>5.9177900398128098E-2</v>
      </c>
      <c r="I18" s="172">
        <f t="shared" si="7"/>
        <v>0.4</v>
      </c>
      <c r="J18" s="157">
        <f t="shared" si="10"/>
        <v>0</v>
      </c>
      <c r="K18" s="172">
        <f t="shared" si="11"/>
        <v>0</v>
      </c>
      <c r="L18" s="172">
        <f t="shared" si="12"/>
        <v>0</v>
      </c>
      <c r="M18" s="172">
        <f t="shared" si="13"/>
        <v>0.61384692169151556</v>
      </c>
      <c r="N18" s="172">
        <f t="shared" si="14"/>
        <v>0.65245801725031483</v>
      </c>
      <c r="O18" s="172">
        <f t="shared" si="15"/>
        <v>0.69349775853098661</v>
      </c>
      <c r="P18" s="172">
        <f t="shared" si="16"/>
        <v>0</v>
      </c>
      <c r="Q18" s="172">
        <f t="shared" si="17"/>
        <v>0</v>
      </c>
      <c r="R18" s="172">
        <f t="shared" si="18"/>
        <v>0</v>
      </c>
      <c r="S18" s="173">
        <f t="shared" si="19"/>
        <v>0</v>
      </c>
      <c r="T18" s="173">
        <f t="shared" si="20"/>
        <v>0</v>
      </c>
      <c r="U18" s="174">
        <f t="shared" si="21"/>
        <v>0</v>
      </c>
      <c r="W18" s="154">
        <f t="shared" si="22"/>
        <v>0.94082209960187191</v>
      </c>
    </row>
    <row r="19" spans="1:27" x14ac:dyDescent="0.25">
      <c r="A19" s="163"/>
      <c r="B19" s="163"/>
      <c r="C19" s="437" t="s">
        <v>186</v>
      </c>
      <c r="D19" s="147" t="s">
        <v>187</v>
      </c>
      <c r="E19" s="166">
        <f t="shared" si="23"/>
        <v>0</v>
      </c>
      <c r="F19" s="167">
        <f t="shared" si="24"/>
        <v>0</v>
      </c>
      <c r="G19" s="168">
        <f t="shared" si="25"/>
        <v>0</v>
      </c>
      <c r="H19" s="175">
        <f>'Processor LT base (sov)'!J4</f>
        <v>5.9177900398128098E-2</v>
      </c>
      <c r="I19" s="176">
        <f>'Processor LT base (sov)'!K4</f>
        <v>0.4</v>
      </c>
      <c r="J19" s="164">
        <f t="shared" si="10"/>
        <v>0</v>
      </c>
      <c r="K19" s="177">
        <f t="shared" si="11"/>
        <v>0</v>
      </c>
      <c r="L19" s="177">
        <f t="shared" si="12"/>
        <v>0</v>
      </c>
      <c r="M19" s="178">
        <f t="shared" si="13"/>
        <v>0.57752074969995748</v>
      </c>
      <c r="N19" s="178">
        <f t="shared" si="14"/>
        <v>0.61384692169151556</v>
      </c>
      <c r="O19" s="178">
        <f t="shared" si="15"/>
        <v>0.65245801725031483</v>
      </c>
      <c r="P19" s="178">
        <f t="shared" si="16"/>
        <v>0</v>
      </c>
      <c r="Q19" s="178">
        <f t="shared" si="17"/>
        <v>0</v>
      </c>
      <c r="R19" s="178">
        <f t="shared" si="18"/>
        <v>0</v>
      </c>
      <c r="S19" s="156">
        <f t="shared" si="19"/>
        <v>0</v>
      </c>
      <c r="T19" s="156">
        <f t="shared" si="20"/>
        <v>0</v>
      </c>
      <c r="U19" s="165">
        <f t="shared" si="21"/>
        <v>0</v>
      </c>
      <c r="W19" s="154">
        <f t="shared" si="22"/>
        <v>0.94082209960187191</v>
      </c>
    </row>
    <row r="20" spans="1:27" x14ac:dyDescent="0.25">
      <c r="A20" s="163"/>
      <c r="B20" s="163"/>
      <c r="C20" s="438"/>
      <c r="D20" s="147" t="s">
        <v>188</v>
      </c>
      <c r="E20" s="166">
        <f t="shared" si="23"/>
        <v>0</v>
      </c>
      <c r="F20" s="167">
        <f t="shared" si="24"/>
        <v>0</v>
      </c>
      <c r="G20" s="168">
        <f t="shared" si="25"/>
        <v>0</v>
      </c>
      <c r="H20" s="147">
        <f>H19</f>
        <v>5.9177900398128098E-2</v>
      </c>
      <c r="I20" s="164">
        <f>I19</f>
        <v>0.4</v>
      </c>
      <c r="J20" s="164">
        <f t="shared" si="10"/>
        <v>0</v>
      </c>
      <c r="K20" s="164">
        <f t="shared" si="11"/>
        <v>0</v>
      </c>
      <c r="L20" s="164">
        <f t="shared" si="12"/>
        <v>0</v>
      </c>
      <c r="M20" s="164">
        <f t="shared" si="13"/>
        <v>0.54334428429636117</v>
      </c>
      <c r="N20" s="164">
        <f t="shared" si="14"/>
        <v>0.57752074969995748</v>
      </c>
      <c r="O20" s="164">
        <f t="shared" si="15"/>
        <v>0.61384692169151556</v>
      </c>
      <c r="P20" s="164">
        <f t="shared" si="16"/>
        <v>0</v>
      </c>
      <c r="Q20" s="164">
        <f t="shared" si="17"/>
        <v>0</v>
      </c>
      <c r="R20" s="164">
        <f t="shared" si="18"/>
        <v>0</v>
      </c>
      <c r="S20" s="156">
        <f t="shared" si="19"/>
        <v>0</v>
      </c>
      <c r="T20" s="156">
        <f t="shared" si="20"/>
        <v>0</v>
      </c>
      <c r="U20" s="165">
        <f t="shared" si="21"/>
        <v>0</v>
      </c>
      <c r="W20" s="154">
        <f t="shared" si="22"/>
        <v>0.94082209960187191</v>
      </c>
    </row>
    <row r="21" spans="1:27" x14ac:dyDescent="0.25">
      <c r="A21" s="163"/>
      <c r="B21" s="163"/>
      <c r="C21" s="438"/>
      <c r="D21" s="147" t="s">
        <v>189</v>
      </c>
      <c r="E21" s="166">
        <f t="shared" si="23"/>
        <v>0</v>
      </c>
      <c r="F21" s="167">
        <f t="shared" si="24"/>
        <v>0</v>
      </c>
      <c r="G21" s="168">
        <f t="shared" si="25"/>
        <v>0</v>
      </c>
      <c r="H21" s="147">
        <f t="shared" ref="H21:I36" si="26">H20</f>
        <v>5.9177900398128098E-2</v>
      </c>
      <c r="I21" s="164">
        <f t="shared" si="26"/>
        <v>0.4</v>
      </c>
      <c r="J21" s="164">
        <f t="shared" si="10"/>
        <v>0</v>
      </c>
      <c r="K21" s="164">
        <f t="shared" si="11"/>
        <v>0</v>
      </c>
      <c r="L21" s="164">
        <f t="shared" si="12"/>
        <v>0</v>
      </c>
      <c r="M21" s="164">
        <f t="shared" si="13"/>
        <v>0.51119031035837892</v>
      </c>
      <c r="N21" s="164">
        <f t="shared" si="14"/>
        <v>0.54334428429636117</v>
      </c>
      <c r="O21" s="164">
        <f t="shared" si="15"/>
        <v>0.57752074969995748</v>
      </c>
      <c r="P21" s="147">
        <f t="shared" si="16"/>
        <v>0</v>
      </c>
      <c r="Q21" s="164">
        <f t="shared" si="17"/>
        <v>0</v>
      </c>
      <c r="R21" s="164">
        <f t="shared" si="18"/>
        <v>0</v>
      </c>
      <c r="S21" s="156">
        <f t="shared" si="19"/>
        <v>0</v>
      </c>
      <c r="T21" s="156">
        <f t="shared" si="20"/>
        <v>0</v>
      </c>
      <c r="U21" s="165">
        <f t="shared" si="21"/>
        <v>0</v>
      </c>
      <c r="V21" s="114"/>
      <c r="W21" s="154">
        <f t="shared" si="22"/>
        <v>0.94082209960187191</v>
      </c>
      <c r="Z21" s="179"/>
      <c r="AA21" s="179"/>
    </row>
    <row r="22" spans="1:27" x14ac:dyDescent="0.25">
      <c r="A22" s="163"/>
      <c r="B22" s="163"/>
      <c r="C22" s="438"/>
      <c r="D22" s="147" t="s">
        <v>190</v>
      </c>
      <c r="E22" s="166">
        <f t="shared" si="23"/>
        <v>0</v>
      </c>
      <c r="F22" s="167">
        <f t="shared" si="24"/>
        <v>0</v>
      </c>
      <c r="G22" s="168">
        <f t="shared" si="25"/>
        <v>0</v>
      </c>
      <c r="H22" s="147">
        <f t="shared" si="26"/>
        <v>5.9177900398128098E-2</v>
      </c>
      <c r="I22" s="164">
        <f t="shared" si="26"/>
        <v>0.4</v>
      </c>
      <c r="J22" s="164">
        <f t="shared" si="10"/>
        <v>0</v>
      </c>
      <c r="K22" s="147">
        <f t="shared" si="11"/>
        <v>0</v>
      </c>
      <c r="L22" s="164">
        <f t="shared" si="12"/>
        <v>0</v>
      </c>
      <c r="M22" s="164">
        <f t="shared" si="13"/>
        <v>0.48093914108750258</v>
      </c>
      <c r="N22" s="164">
        <f t="shared" si="14"/>
        <v>0.51119031035837892</v>
      </c>
      <c r="O22" s="164">
        <f t="shared" si="15"/>
        <v>0.54334428429636117</v>
      </c>
      <c r="P22" s="147">
        <f t="shared" si="16"/>
        <v>0</v>
      </c>
      <c r="Q22" s="147">
        <f t="shared" si="17"/>
        <v>0</v>
      </c>
      <c r="R22" s="164">
        <f t="shared" si="18"/>
        <v>0</v>
      </c>
      <c r="S22" s="156">
        <f t="shared" si="19"/>
        <v>0</v>
      </c>
      <c r="T22" s="156">
        <f t="shared" si="20"/>
        <v>0</v>
      </c>
      <c r="U22" s="165">
        <f t="shared" si="21"/>
        <v>0</v>
      </c>
      <c r="V22" s="114"/>
      <c r="W22" s="154">
        <f t="shared" si="22"/>
        <v>0.94082209960187191</v>
      </c>
      <c r="Z22" s="179"/>
      <c r="AA22" s="179"/>
    </row>
    <row r="23" spans="1:27" x14ac:dyDescent="0.25">
      <c r="A23" s="163"/>
      <c r="B23" s="163"/>
      <c r="C23" s="438"/>
      <c r="D23" s="147" t="s">
        <v>191</v>
      </c>
      <c r="E23" s="166">
        <f t="shared" si="23"/>
        <v>0</v>
      </c>
      <c r="F23" s="167">
        <f t="shared" si="24"/>
        <v>0</v>
      </c>
      <c r="G23" s="168">
        <f t="shared" si="25"/>
        <v>0</v>
      </c>
      <c r="H23" s="147">
        <f t="shared" si="26"/>
        <v>5.9177900398128098E-2</v>
      </c>
      <c r="I23" s="164">
        <f t="shared" si="26"/>
        <v>0.4</v>
      </c>
      <c r="J23" s="164">
        <f t="shared" si="10"/>
        <v>0</v>
      </c>
      <c r="K23" s="147">
        <f t="shared" si="11"/>
        <v>0</v>
      </c>
      <c r="L23" s="147">
        <f t="shared" si="12"/>
        <v>0</v>
      </c>
      <c r="M23" s="147">
        <f t="shared" si="13"/>
        <v>0.45247817249866507</v>
      </c>
      <c r="N23" s="147">
        <f t="shared" si="14"/>
        <v>0.48093914108750258</v>
      </c>
      <c r="O23" s="164">
        <f t="shared" si="15"/>
        <v>0.51119031035837892</v>
      </c>
      <c r="P23" s="147">
        <f t="shared" si="16"/>
        <v>0</v>
      </c>
      <c r="Q23" s="147">
        <f t="shared" si="17"/>
        <v>0</v>
      </c>
      <c r="R23" s="147">
        <f t="shared" si="18"/>
        <v>0</v>
      </c>
      <c r="S23" s="156">
        <f t="shared" si="19"/>
        <v>0</v>
      </c>
      <c r="T23" s="156">
        <f t="shared" si="20"/>
        <v>0</v>
      </c>
      <c r="U23" s="165">
        <f>R23*$G23</f>
        <v>0</v>
      </c>
      <c r="V23" s="114"/>
      <c r="W23" s="154">
        <f t="shared" si="22"/>
        <v>0.94082209960187191</v>
      </c>
      <c r="Z23" s="179"/>
      <c r="AA23" s="179"/>
    </row>
    <row r="24" spans="1:27" x14ac:dyDescent="0.25">
      <c r="A24" s="163"/>
      <c r="B24" s="163"/>
      <c r="C24" s="438"/>
      <c r="D24" s="147" t="s">
        <v>192</v>
      </c>
      <c r="E24" s="166">
        <f t="shared" si="23"/>
        <v>0</v>
      </c>
      <c r="F24" s="167">
        <f t="shared" si="24"/>
        <v>0</v>
      </c>
      <c r="G24" s="168">
        <f t="shared" si="25"/>
        <v>0</v>
      </c>
      <c r="H24" s="147">
        <f t="shared" si="26"/>
        <v>5.9177900398128098E-2</v>
      </c>
      <c r="I24" s="164">
        <f t="shared" si="26"/>
        <v>0.4</v>
      </c>
      <c r="J24" s="164">
        <f t="shared" si="10"/>
        <v>0</v>
      </c>
      <c r="K24" s="147">
        <f t="shared" si="11"/>
        <v>0</v>
      </c>
      <c r="L24" s="147">
        <f t="shared" si="12"/>
        <v>0</v>
      </c>
      <c r="M24" s="147">
        <f t="shared" si="13"/>
        <v>0.42570146427421202</v>
      </c>
      <c r="N24" s="147">
        <f t="shared" si="14"/>
        <v>0.45247817249866507</v>
      </c>
      <c r="O24" s="164">
        <f t="shared" si="15"/>
        <v>0.48093914108750258</v>
      </c>
      <c r="P24" s="147">
        <f t="shared" si="16"/>
        <v>0</v>
      </c>
      <c r="Q24" s="147">
        <f t="shared" si="17"/>
        <v>0</v>
      </c>
      <c r="R24" s="147">
        <f t="shared" si="18"/>
        <v>0</v>
      </c>
      <c r="S24" s="156">
        <f t="shared" si="19"/>
        <v>0</v>
      </c>
      <c r="T24" s="156">
        <f t="shared" si="20"/>
        <v>0</v>
      </c>
      <c r="U24" s="165">
        <f t="shared" ref="U24:U59" si="27">R24*$G24</f>
        <v>0</v>
      </c>
      <c r="V24" s="114"/>
      <c r="W24" s="154">
        <f t="shared" si="22"/>
        <v>0.94082209960187191</v>
      </c>
      <c r="X24" s="180"/>
      <c r="Z24" s="131"/>
      <c r="AA24" s="131"/>
    </row>
    <row r="25" spans="1:27" x14ac:dyDescent="0.25">
      <c r="A25" s="163"/>
      <c r="B25" s="163"/>
      <c r="C25" s="438"/>
      <c r="D25" s="147" t="s">
        <v>193</v>
      </c>
      <c r="E25" s="166">
        <f t="shared" si="23"/>
        <v>0</v>
      </c>
      <c r="F25" s="167">
        <f t="shared" si="24"/>
        <v>0</v>
      </c>
      <c r="G25" s="168">
        <f t="shared" si="25"/>
        <v>0</v>
      </c>
      <c r="H25" s="147">
        <f t="shared" si="26"/>
        <v>5.9177900398128098E-2</v>
      </c>
      <c r="I25" s="164">
        <f t="shared" si="26"/>
        <v>0.4</v>
      </c>
      <c r="J25" s="164">
        <f t="shared" si="10"/>
        <v>0</v>
      </c>
      <c r="K25" s="147">
        <f t="shared" si="11"/>
        <v>0</v>
      </c>
      <c r="L25" s="147">
        <f t="shared" si="12"/>
        <v>0</v>
      </c>
      <c r="M25" s="147">
        <f t="shared" si="13"/>
        <v>0.40050934542205541</v>
      </c>
      <c r="N25" s="147">
        <f t="shared" si="14"/>
        <v>0.42570146427421202</v>
      </c>
      <c r="O25" s="164">
        <f t="shared" si="15"/>
        <v>0.45247817249866507</v>
      </c>
      <c r="P25" s="147">
        <f t="shared" si="16"/>
        <v>0</v>
      </c>
      <c r="Q25" s="147">
        <f t="shared" si="17"/>
        <v>0</v>
      </c>
      <c r="R25" s="147">
        <f t="shared" si="18"/>
        <v>0</v>
      </c>
      <c r="S25" s="156">
        <f t="shared" si="19"/>
        <v>0</v>
      </c>
      <c r="T25" s="156">
        <f t="shared" si="20"/>
        <v>0</v>
      </c>
      <c r="U25" s="165">
        <f t="shared" si="27"/>
        <v>0</v>
      </c>
      <c r="V25" s="114"/>
      <c r="W25" s="154">
        <f t="shared" si="22"/>
        <v>0.94082209960187191</v>
      </c>
      <c r="Z25" s="181"/>
      <c r="AA25" s="179"/>
    </row>
    <row r="26" spans="1:27" x14ac:dyDescent="0.25">
      <c r="A26" s="163"/>
      <c r="B26" s="163"/>
      <c r="C26" s="438"/>
      <c r="D26" s="147" t="s">
        <v>194</v>
      </c>
      <c r="E26" s="166">
        <f t="shared" si="23"/>
        <v>0</v>
      </c>
      <c r="F26" s="167">
        <f t="shared" si="24"/>
        <v>0</v>
      </c>
      <c r="G26" s="168">
        <f t="shared" si="25"/>
        <v>0</v>
      </c>
      <c r="H26" s="147">
        <f t="shared" si="26"/>
        <v>5.9177900398128098E-2</v>
      </c>
      <c r="I26" s="164">
        <f t="shared" si="26"/>
        <v>0.4</v>
      </c>
      <c r="J26" s="164">
        <f t="shared" si="10"/>
        <v>0</v>
      </c>
      <c r="K26" s="147">
        <f t="shared" si="11"/>
        <v>0</v>
      </c>
      <c r="L26" s="147">
        <f t="shared" si="12"/>
        <v>0</v>
      </c>
      <c r="M26" s="147">
        <f t="shared" si="13"/>
        <v>0.37680804327014955</v>
      </c>
      <c r="N26" s="147">
        <f t="shared" si="14"/>
        <v>0.40050934542205541</v>
      </c>
      <c r="O26" s="164">
        <f t="shared" si="15"/>
        <v>0.42570146427421202</v>
      </c>
      <c r="P26" s="147">
        <f t="shared" si="16"/>
        <v>0</v>
      </c>
      <c r="Q26" s="147">
        <f t="shared" si="17"/>
        <v>0</v>
      </c>
      <c r="R26" s="147">
        <f t="shared" si="18"/>
        <v>0</v>
      </c>
      <c r="S26" s="156">
        <f t="shared" si="19"/>
        <v>0</v>
      </c>
      <c r="T26" s="156">
        <f t="shared" si="20"/>
        <v>0</v>
      </c>
      <c r="U26" s="165">
        <f t="shared" si="27"/>
        <v>0</v>
      </c>
      <c r="V26" s="114"/>
      <c r="W26" s="154">
        <f t="shared" si="22"/>
        <v>0.94082209960187191</v>
      </c>
      <c r="Y26" s="181"/>
      <c r="Z26" s="181"/>
      <c r="AA26" s="179"/>
    </row>
    <row r="27" spans="1:27" x14ac:dyDescent="0.25">
      <c r="A27" s="163"/>
      <c r="B27" s="163"/>
      <c r="C27" s="438"/>
      <c r="D27" s="147" t="s">
        <v>195</v>
      </c>
      <c r="E27" s="166">
        <f t="shared" si="23"/>
        <v>0</v>
      </c>
      <c r="F27" s="167">
        <f t="shared" si="24"/>
        <v>0</v>
      </c>
      <c r="G27" s="168">
        <f t="shared" si="25"/>
        <v>0</v>
      </c>
      <c r="H27" s="147">
        <f t="shared" si="26"/>
        <v>5.9177900398128098E-2</v>
      </c>
      <c r="I27" s="164">
        <f t="shared" si="26"/>
        <v>0.4</v>
      </c>
      <c r="J27" s="164">
        <f t="shared" si="10"/>
        <v>0</v>
      </c>
      <c r="K27" s="147">
        <f t="shared" si="11"/>
        <v>0</v>
      </c>
      <c r="L27" s="147">
        <f t="shared" si="12"/>
        <v>0</v>
      </c>
      <c r="M27" s="147">
        <f t="shared" si="13"/>
        <v>0.35450933441629512</v>
      </c>
      <c r="N27" s="147">
        <f t="shared" si="14"/>
        <v>0.37680804327014955</v>
      </c>
      <c r="O27" s="164">
        <f t="shared" si="15"/>
        <v>0.40050934542205541</v>
      </c>
      <c r="P27" s="147">
        <f t="shared" si="16"/>
        <v>0</v>
      </c>
      <c r="Q27" s="147">
        <f t="shared" si="17"/>
        <v>0</v>
      </c>
      <c r="R27" s="147">
        <f t="shared" si="18"/>
        <v>0</v>
      </c>
      <c r="S27" s="156">
        <f t="shared" si="19"/>
        <v>0</v>
      </c>
      <c r="T27" s="156">
        <f t="shared" si="20"/>
        <v>0</v>
      </c>
      <c r="U27" s="165">
        <f t="shared" si="27"/>
        <v>0</v>
      </c>
      <c r="V27" s="114"/>
      <c r="W27" s="154">
        <f t="shared" si="22"/>
        <v>0.94082209960187191</v>
      </c>
      <c r="Y27" s="181"/>
      <c r="Z27" s="181"/>
      <c r="AA27" s="179"/>
    </row>
    <row r="28" spans="1:27" x14ac:dyDescent="0.25">
      <c r="A28" s="163"/>
      <c r="B28" s="163"/>
      <c r="C28" s="438"/>
      <c r="D28" s="147" t="s">
        <v>196</v>
      </c>
      <c r="E28" s="166">
        <f t="shared" si="23"/>
        <v>0</v>
      </c>
      <c r="F28" s="167">
        <f t="shared" si="24"/>
        <v>0</v>
      </c>
      <c r="G28" s="168">
        <f t="shared" si="25"/>
        <v>0</v>
      </c>
      <c r="H28" s="147">
        <f t="shared" si="26"/>
        <v>5.9177900398128098E-2</v>
      </c>
      <c r="I28" s="164">
        <f t="shared" si="26"/>
        <v>0.4</v>
      </c>
      <c r="J28" s="164">
        <f t="shared" si="10"/>
        <v>0</v>
      </c>
      <c r="K28" s="147">
        <f t="shared" si="11"/>
        <v>0</v>
      </c>
      <c r="L28" s="147">
        <f t="shared" si="12"/>
        <v>0</v>
      </c>
      <c r="M28" s="147">
        <f t="shared" si="13"/>
        <v>0.33353021633400093</v>
      </c>
      <c r="N28" s="147">
        <f t="shared" si="14"/>
        <v>0.35450933441629512</v>
      </c>
      <c r="O28" s="164">
        <f t="shared" si="15"/>
        <v>0.37680804327014955</v>
      </c>
      <c r="P28" s="147">
        <f t="shared" si="16"/>
        <v>0</v>
      </c>
      <c r="Q28" s="147">
        <f t="shared" si="17"/>
        <v>0</v>
      </c>
      <c r="R28" s="147">
        <f t="shared" si="18"/>
        <v>0</v>
      </c>
      <c r="S28" s="156">
        <f t="shared" si="19"/>
        <v>0</v>
      </c>
      <c r="T28" s="156">
        <f t="shared" si="20"/>
        <v>0</v>
      </c>
      <c r="U28" s="165">
        <f t="shared" si="27"/>
        <v>0</v>
      </c>
      <c r="V28" s="114"/>
      <c r="W28" s="154">
        <f t="shared" si="22"/>
        <v>0.94082209960187191</v>
      </c>
      <c r="Y28" s="179"/>
      <c r="Z28" s="179"/>
      <c r="AA28" s="179"/>
    </row>
    <row r="29" spans="1:27" x14ac:dyDescent="0.25">
      <c r="A29" s="163"/>
      <c r="B29" s="163"/>
      <c r="C29" s="438"/>
      <c r="D29" s="147" t="s">
        <v>197</v>
      </c>
      <c r="E29" s="166">
        <f t="shared" si="23"/>
        <v>0</v>
      </c>
      <c r="F29" s="167">
        <f t="shared" si="24"/>
        <v>0</v>
      </c>
      <c r="G29" s="168">
        <f t="shared" si="25"/>
        <v>0</v>
      </c>
      <c r="H29" s="147">
        <f t="shared" si="26"/>
        <v>5.9177900398128098E-2</v>
      </c>
      <c r="I29" s="164">
        <f t="shared" si="26"/>
        <v>0.4</v>
      </c>
      <c r="J29" s="164">
        <f t="shared" si="10"/>
        <v>0</v>
      </c>
      <c r="K29" s="147">
        <f t="shared" si="11"/>
        <v>0</v>
      </c>
      <c r="L29" s="147">
        <f t="shared" si="12"/>
        <v>0</v>
      </c>
      <c r="M29" s="147">
        <f t="shared" si="13"/>
        <v>0.31379259841202128</v>
      </c>
      <c r="N29" s="147">
        <f t="shared" si="14"/>
        <v>0.33353021633400093</v>
      </c>
      <c r="O29" s="164">
        <f t="shared" si="15"/>
        <v>0.35450933441629512</v>
      </c>
      <c r="P29" s="147">
        <f t="shared" si="16"/>
        <v>0</v>
      </c>
      <c r="Q29" s="147">
        <f t="shared" si="17"/>
        <v>0</v>
      </c>
      <c r="R29" s="147">
        <f t="shared" si="18"/>
        <v>0</v>
      </c>
      <c r="S29" s="156">
        <f t="shared" si="19"/>
        <v>0</v>
      </c>
      <c r="T29" s="156">
        <f t="shared" si="20"/>
        <v>0</v>
      </c>
      <c r="U29" s="165">
        <f t="shared" si="27"/>
        <v>0</v>
      </c>
      <c r="V29" s="114"/>
      <c r="W29" s="154">
        <f t="shared" si="22"/>
        <v>0.94082209960187191</v>
      </c>
      <c r="Y29" s="179"/>
      <c r="Z29" s="179"/>
      <c r="AA29" s="179"/>
    </row>
    <row r="30" spans="1:27" x14ac:dyDescent="0.25">
      <c r="A30" s="163"/>
      <c r="B30" s="163"/>
      <c r="C30" s="438"/>
      <c r="D30" s="147" t="s">
        <v>198</v>
      </c>
      <c r="E30" s="166">
        <f t="shared" si="23"/>
        <v>0</v>
      </c>
      <c r="F30" s="167">
        <f t="shared" si="24"/>
        <v>0</v>
      </c>
      <c r="G30" s="168">
        <f t="shared" si="25"/>
        <v>0</v>
      </c>
      <c r="H30" s="147">
        <f t="shared" si="26"/>
        <v>5.9177900398128098E-2</v>
      </c>
      <c r="I30" s="164">
        <f t="shared" si="26"/>
        <v>0.4</v>
      </c>
      <c r="J30" s="164">
        <f t="shared" si="10"/>
        <v>0</v>
      </c>
      <c r="K30" s="147">
        <f t="shared" si="11"/>
        <v>0</v>
      </c>
      <c r="L30" s="147">
        <f t="shared" si="12"/>
        <v>0</v>
      </c>
      <c r="M30" s="147">
        <f t="shared" si="13"/>
        <v>0.29522301127752487</v>
      </c>
      <c r="N30" s="147">
        <f t="shared" si="14"/>
        <v>0.31379259841202128</v>
      </c>
      <c r="O30" s="164">
        <f t="shared" si="15"/>
        <v>0.33353021633400093</v>
      </c>
      <c r="P30" s="147">
        <f t="shared" si="16"/>
        <v>0</v>
      </c>
      <c r="Q30" s="147">
        <f t="shared" si="17"/>
        <v>0</v>
      </c>
      <c r="R30" s="147">
        <f t="shared" si="18"/>
        <v>0</v>
      </c>
      <c r="S30" s="156">
        <f t="shared" si="19"/>
        <v>0</v>
      </c>
      <c r="T30" s="156">
        <f t="shared" si="20"/>
        <v>0</v>
      </c>
      <c r="U30" s="165">
        <f t="shared" si="27"/>
        <v>0</v>
      </c>
      <c r="W30" s="154">
        <f t="shared" si="22"/>
        <v>0.94082209960187191</v>
      </c>
    </row>
    <row r="31" spans="1:27" x14ac:dyDescent="0.25">
      <c r="A31" s="163"/>
      <c r="B31" s="163"/>
      <c r="C31" s="438"/>
      <c r="D31" s="147" t="s">
        <v>199</v>
      </c>
      <c r="E31" s="166">
        <f t="shared" si="23"/>
        <v>0</v>
      </c>
      <c r="F31" s="167">
        <f t="shared" si="24"/>
        <v>0</v>
      </c>
      <c r="G31" s="168">
        <f t="shared" si="25"/>
        <v>0</v>
      </c>
      <c r="H31" s="147">
        <f t="shared" si="26"/>
        <v>5.9177900398128098E-2</v>
      </c>
      <c r="I31" s="164">
        <f t="shared" si="26"/>
        <v>0.4</v>
      </c>
      <c r="J31" s="164">
        <f t="shared" si="10"/>
        <v>0</v>
      </c>
      <c r="K31" s="147">
        <f t="shared" si="11"/>
        <v>0</v>
      </c>
      <c r="L31" s="147">
        <f t="shared" si="12"/>
        <v>0</v>
      </c>
      <c r="M31" s="147">
        <f t="shared" si="13"/>
        <v>0.27775233332090804</v>
      </c>
      <c r="N31" s="147">
        <f t="shared" si="14"/>
        <v>0.29522301127752487</v>
      </c>
      <c r="O31" s="164">
        <f t="shared" si="15"/>
        <v>0.31379259841202128</v>
      </c>
      <c r="P31" s="147">
        <f t="shared" si="16"/>
        <v>0</v>
      </c>
      <c r="Q31" s="147">
        <f t="shared" si="17"/>
        <v>0</v>
      </c>
      <c r="R31" s="147">
        <f t="shared" si="18"/>
        <v>0</v>
      </c>
      <c r="S31" s="156">
        <f t="shared" si="19"/>
        <v>0</v>
      </c>
      <c r="T31" s="156">
        <f t="shared" si="20"/>
        <v>0</v>
      </c>
      <c r="U31" s="165">
        <f t="shared" si="27"/>
        <v>0</v>
      </c>
      <c r="W31" s="154">
        <f t="shared" si="22"/>
        <v>0.94082209960187191</v>
      </c>
    </row>
    <row r="32" spans="1:27" x14ac:dyDescent="0.25">
      <c r="A32" s="163"/>
      <c r="B32" s="163"/>
      <c r="C32" s="438"/>
      <c r="D32" s="147" t="s">
        <v>200</v>
      </c>
      <c r="E32" s="166">
        <f t="shared" si="23"/>
        <v>0</v>
      </c>
      <c r="F32" s="167">
        <f t="shared" si="24"/>
        <v>0</v>
      </c>
      <c r="G32" s="168">
        <f t="shared" si="25"/>
        <v>0</v>
      </c>
      <c r="H32" s="147">
        <f t="shared" si="26"/>
        <v>5.9177900398128098E-2</v>
      </c>
      <c r="I32" s="164">
        <f t="shared" si="26"/>
        <v>0.4</v>
      </c>
      <c r="J32" s="164">
        <f t="shared" si="10"/>
        <v>0</v>
      </c>
      <c r="K32" s="147">
        <f t="shared" si="11"/>
        <v>0</v>
      </c>
      <c r="L32" s="147">
        <f t="shared" si="12"/>
        <v>0</v>
      </c>
      <c r="M32" s="147">
        <f t="shared" si="13"/>
        <v>0.2613155334042957</v>
      </c>
      <c r="N32" s="147">
        <f t="shared" si="14"/>
        <v>0.27775233332090804</v>
      </c>
      <c r="O32" s="164">
        <f t="shared" si="15"/>
        <v>0.29522301127752487</v>
      </c>
      <c r="P32" s="147">
        <f t="shared" si="16"/>
        <v>0</v>
      </c>
      <c r="Q32" s="147">
        <f t="shared" si="17"/>
        <v>0</v>
      </c>
      <c r="R32" s="147">
        <f t="shared" si="18"/>
        <v>0</v>
      </c>
      <c r="S32" s="156">
        <f t="shared" si="19"/>
        <v>0</v>
      </c>
      <c r="T32" s="156">
        <f t="shared" si="20"/>
        <v>0</v>
      </c>
      <c r="U32" s="165">
        <f t="shared" si="27"/>
        <v>0</v>
      </c>
      <c r="W32" s="154">
        <f t="shared" si="22"/>
        <v>0.94082209960187191</v>
      </c>
    </row>
    <row r="33" spans="1:23" x14ac:dyDescent="0.25">
      <c r="A33" s="163"/>
      <c r="B33" s="163"/>
      <c r="C33" s="438"/>
      <c r="D33" s="147" t="s">
        <v>201</v>
      </c>
      <c r="E33" s="166">
        <f t="shared" si="23"/>
        <v>0</v>
      </c>
      <c r="F33" s="167">
        <f t="shared" si="24"/>
        <v>0</v>
      </c>
      <c r="G33" s="168">
        <f t="shared" si="25"/>
        <v>0</v>
      </c>
      <c r="H33" s="147">
        <f t="shared" si="26"/>
        <v>5.9177900398128098E-2</v>
      </c>
      <c r="I33" s="164">
        <f t="shared" si="26"/>
        <v>0.4</v>
      </c>
      <c r="J33" s="164">
        <f t="shared" si="10"/>
        <v>0</v>
      </c>
      <c r="K33" s="147">
        <f t="shared" si="11"/>
        <v>0</v>
      </c>
      <c r="L33" s="147">
        <f t="shared" si="12"/>
        <v>0</v>
      </c>
      <c r="M33" s="147">
        <f t="shared" si="13"/>
        <v>0.24585142879601257</v>
      </c>
      <c r="N33" s="147">
        <f t="shared" si="14"/>
        <v>0.2613155334042957</v>
      </c>
      <c r="O33" s="164">
        <f t="shared" si="15"/>
        <v>0.27775233332090804</v>
      </c>
      <c r="P33" s="147">
        <f t="shared" si="16"/>
        <v>0</v>
      </c>
      <c r="Q33" s="147">
        <f t="shared" si="17"/>
        <v>0</v>
      </c>
      <c r="R33" s="147">
        <f t="shared" si="18"/>
        <v>0</v>
      </c>
      <c r="S33" s="156">
        <f t="shared" si="19"/>
        <v>0</v>
      </c>
      <c r="T33" s="156">
        <f t="shared" si="20"/>
        <v>0</v>
      </c>
      <c r="U33" s="165">
        <f t="shared" si="27"/>
        <v>0</v>
      </c>
      <c r="W33" s="154">
        <f t="shared" si="22"/>
        <v>0.94082209960187191</v>
      </c>
    </row>
    <row r="34" spans="1:23" x14ac:dyDescent="0.25">
      <c r="A34" s="163"/>
      <c r="B34" s="163"/>
      <c r="C34" s="438"/>
      <c r="D34" s="147" t="s">
        <v>202</v>
      </c>
      <c r="E34" s="166">
        <f t="shared" si="23"/>
        <v>0</v>
      </c>
      <c r="F34" s="167">
        <f t="shared" si="24"/>
        <v>0</v>
      </c>
      <c r="G34" s="168">
        <f t="shared" si="25"/>
        <v>0</v>
      </c>
      <c r="H34" s="147">
        <f t="shared" si="26"/>
        <v>5.9177900398128098E-2</v>
      </c>
      <c r="I34" s="164">
        <f t="shared" si="26"/>
        <v>0.4</v>
      </c>
      <c r="J34" s="164">
        <f t="shared" si="10"/>
        <v>0</v>
      </c>
      <c r="K34" s="147">
        <f t="shared" si="11"/>
        <v>0</v>
      </c>
      <c r="L34" s="147">
        <f t="shared" si="12"/>
        <v>0</v>
      </c>
      <c r="M34" s="147">
        <f t="shared" si="13"/>
        <v>0.23130245742998465</v>
      </c>
      <c r="N34" s="147">
        <f t="shared" si="14"/>
        <v>0.24585142879601257</v>
      </c>
      <c r="O34" s="164">
        <f t="shared" si="15"/>
        <v>0.2613155334042957</v>
      </c>
      <c r="P34" s="147">
        <f t="shared" si="16"/>
        <v>0</v>
      </c>
      <c r="Q34" s="147">
        <f t="shared" si="17"/>
        <v>0</v>
      </c>
      <c r="R34" s="147">
        <f t="shared" si="18"/>
        <v>0</v>
      </c>
      <c r="S34" s="156">
        <f t="shared" si="19"/>
        <v>0</v>
      </c>
      <c r="T34" s="156">
        <f t="shared" si="20"/>
        <v>0</v>
      </c>
      <c r="U34" s="165">
        <f t="shared" si="27"/>
        <v>0</v>
      </c>
      <c r="W34" s="154">
        <f t="shared" si="22"/>
        <v>0.94082209960187191</v>
      </c>
    </row>
    <row r="35" spans="1:23" x14ac:dyDescent="0.25">
      <c r="A35" s="163"/>
      <c r="B35" s="163"/>
      <c r="C35" s="438"/>
      <c r="D35" s="147" t="s">
        <v>203</v>
      </c>
      <c r="E35" s="166">
        <f t="shared" si="23"/>
        <v>0</v>
      </c>
      <c r="F35" s="167">
        <f t="shared" si="24"/>
        <v>0</v>
      </c>
      <c r="G35" s="168">
        <f t="shared" si="25"/>
        <v>0</v>
      </c>
      <c r="H35" s="147">
        <f t="shared" si="26"/>
        <v>5.9177900398128098E-2</v>
      </c>
      <c r="I35" s="164">
        <f t="shared" si="26"/>
        <v>0.4</v>
      </c>
      <c r="J35" s="164">
        <f t="shared" si="10"/>
        <v>0</v>
      </c>
      <c r="K35" s="147">
        <f t="shared" si="11"/>
        <v>0</v>
      </c>
      <c r="L35" s="147">
        <f t="shared" si="12"/>
        <v>0</v>
      </c>
      <c r="M35" s="147">
        <f t="shared" si="13"/>
        <v>0.21761446364235076</v>
      </c>
      <c r="N35" s="147">
        <f t="shared" si="14"/>
        <v>0.23130245742998465</v>
      </c>
      <c r="O35" s="164">
        <f t="shared" si="15"/>
        <v>0.24585142879601257</v>
      </c>
      <c r="P35" s="147">
        <f t="shared" si="16"/>
        <v>0</v>
      </c>
      <c r="Q35" s="147">
        <f t="shared" si="17"/>
        <v>0</v>
      </c>
      <c r="R35" s="147">
        <f t="shared" si="18"/>
        <v>0</v>
      </c>
      <c r="S35" s="156">
        <f t="shared" si="19"/>
        <v>0</v>
      </c>
      <c r="T35" s="156">
        <f t="shared" si="20"/>
        <v>0</v>
      </c>
      <c r="U35" s="165">
        <f t="shared" si="27"/>
        <v>0</v>
      </c>
      <c r="W35" s="154">
        <f t="shared" si="22"/>
        <v>0.94082209960187191</v>
      </c>
    </row>
    <row r="36" spans="1:23" x14ac:dyDescent="0.25">
      <c r="A36" s="163"/>
      <c r="B36" s="163"/>
      <c r="C36" s="438"/>
      <c r="D36" s="147" t="s">
        <v>204</v>
      </c>
      <c r="E36" s="166">
        <f t="shared" si="23"/>
        <v>0</v>
      </c>
      <c r="F36" s="167">
        <f t="shared" si="24"/>
        <v>0</v>
      </c>
      <c r="G36" s="168">
        <f t="shared" si="25"/>
        <v>0</v>
      </c>
      <c r="H36" s="147">
        <f t="shared" si="26"/>
        <v>5.9177900398128098E-2</v>
      </c>
      <c r="I36" s="164">
        <f t="shared" si="26"/>
        <v>0.4</v>
      </c>
      <c r="J36" s="164">
        <f t="shared" si="10"/>
        <v>0</v>
      </c>
      <c r="K36" s="147">
        <f t="shared" si="11"/>
        <v>0</v>
      </c>
      <c r="L36" s="147">
        <f t="shared" si="12"/>
        <v>0</v>
      </c>
      <c r="M36" s="147">
        <f t="shared" si="13"/>
        <v>0.20473649658773166</v>
      </c>
      <c r="N36" s="147">
        <f t="shared" si="14"/>
        <v>0.21761446364235076</v>
      </c>
      <c r="O36" s="164">
        <f t="shared" si="15"/>
        <v>0.23130245742998465</v>
      </c>
      <c r="P36" s="147">
        <f t="shared" si="16"/>
        <v>0</v>
      </c>
      <c r="Q36" s="147">
        <f t="shared" si="17"/>
        <v>0</v>
      </c>
      <c r="R36" s="147">
        <f t="shared" si="18"/>
        <v>0</v>
      </c>
      <c r="S36" s="156">
        <f t="shared" si="19"/>
        <v>0</v>
      </c>
      <c r="T36" s="156">
        <f t="shared" si="20"/>
        <v>0</v>
      </c>
      <c r="U36" s="165">
        <f t="shared" si="27"/>
        <v>0</v>
      </c>
      <c r="W36" s="154">
        <f t="shared" si="22"/>
        <v>0.94082209960187191</v>
      </c>
    </row>
    <row r="37" spans="1:23" x14ac:dyDescent="0.25">
      <c r="A37" s="163"/>
      <c r="B37" s="163"/>
      <c r="C37" s="438"/>
      <c r="D37" s="147" t="s">
        <v>205</v>
      </c>
      <c r="E37" s="166">
        <f t="shared" si="23"/>
        <v>0</v>
      </c>
      <c r="F37" s="167">
        <f t="shared" si="24"/>
        <v>0</v>
      </c>
      <c r="G37" s="168">
        <f t="shared" si="25"/>
        <v>0</v>
      </c>
      <c r="H37" s="147">
        <f t="shared" ref="H37:I52" si="28">H36</f>
        <v>5.9177900398128098E-2</v>
      </c>
      <c r="I37" s="164">
        <f t="shared" si="28"/>
        <v>0.4</v>
      </c>
      <c r="J37" s="164">
        <f t="shared" si="10"/>
        <v>0</v>
      </c>
      <c r="K37" s="147">
        <f t="shared" si="11"/>
        <v>0</v>
      </c>
      <c r="L37" s="147">
        <f t="shared" si="12"/>
        <v>0</v>
      </c>
      <c r="M37" s="147">
        <f t="shared" si="13"/>
        <v>0.19262062058480117</v>
      </c>
      <c r="N37" s="147">
        <f t="shared" si="14"/>
        <v>0.20473649658773166</v>
      </c>
      <c r="O37" s="164">
        <f t="shared" si="15"/>
        <v>0.21761446364235076</v>
      </c>
      <c r="P37" s="147">
        <f t="shared" si="16"/>
        <v>0</v>
      </c>
      <c r="Q37" s="147">
        <f t="shared" si="17"/>
        <v>0</v>
      </c>
      <c r="R37" s="147">
        <f t="shared" si="18"/>
        <v>0</v>
      </c>
      <c r="S37" s="156">
        <f t="shared" si="19"/>
        <v>0</v>
      </c>
      <c r="T37" s="156">
        <f t="shared" si="20"/>
        <v>0</v>
      </c>
      <c r="U37" s="165">
        <f t="shared" si="27"/>
        <v>0</v>
      </c>
      <c r="W37" s="154">
        <f t="shared" si="22"/>
        <v>0.94082209960187191</v>
      </c>
    </row>
    <row r="38" spans="1:23" x14ac:dyDescent="0.25">
      <c r="A38" s="163"/>
      <c r="B38" s="163"/>
      <c r="C38" s="438"/>
      <c r="D38" s="147" t="s">
        <v>206</v>
      </c>
      <c r="E38" s="166">
        <f t="shared" si="23"/>
        <v>0</v>
      </c>
      <c r="F38" s="167">
        <f t="shared" si="24"/>
        <v>0</v>
      </c>
      <c r="G38" s="168">
        <f t="shared" si="25"/>
        <v>0</v>
      </c>
      <c r="H38" s="147">
        <f t="shared" si="28"/>
        <v>5.9177900398128098E-2</v>
      </c>
      <c r="I38" s="164">
        <f t="shared" si="28"/>
        <v>0.4</v>
      </c>
      <c r="J38" s="164">
        <f t="shared" si="10"/>
        <v>0</v>
      </c>
      <c r="K38" s="147">
        <f t="shared" si="11"/>
        <v>0</v>
      </c>
      <c r="L38" s="147">
        <f t="shared" si="12"/>
        <v>0</v>
      </c>
      <c r="M38" s="147">
        <f t="shared" si="13"/>
        <v>0.18122173668520819</v>
      </c>
      <c r="N38" s="147">
        <f t="shared" si="14"/>
        <v>0.19262062058480117</v>
      </c>
      <c r="O38" s="164">
        <f t="shared" si="15"/>
        <v>0.20473649658773166</v>
      </c>
      <c r="P38" s="147">
        <f t="shared" si="16"/>
        <v>0</v>
      </c>
      <c r="Q38" s="147">
        <f t="shared" si="17"/>
        <v>0</v>
      </c>
      <c r="R38" s="147">
        <f t="shared" si="18"/>
        <v>0</v>
      </c>
      <c r="S38" s="156">
        <f t="shared" si="19"/>
        <v>0</v>
      </c>
      <c r="T38" s="156">
        <f t="shared" si="20"/>
        <v>0</v>
      </c>
      <c r="U38" s="165">
        <f t="shared" si="27"/>
        <v>0</v>
      </c>
      <c r="W38" s="154">
        <f t="shared" si="22"/>
        <v>0.94082209960187191</v>
      </c>
    </row>
    <row r="39" spans="1:23" x14ac:dyDescent="0.25">
      <c r="A39" s="163"/>
      <c r="B39" s="163"/>
      <c r="C39" s="438"/>
      <c r="D39" s="147" t="s">
        <v>207</v>
      </c>
      <c r="E39" s="166">
        <f t="shared" si="23"/>
        <v>0</v>
      </c>
      <c r="F39" s="167">
        <f t="shared" si="24"/>
        <v>0</v>
      </c>
      <c r="G39" s="168">
        <f t="shared" si="25"/>
        <v>0</v>
      </c>
      <c r="H39" s="147">
        <f t="shared" si="28"/>
        <v>5.9177900398128098E-2</v>
      </c>
      <c r="I39" s="164">
        <f t="shared" si="28"/>
        <v>0.4</v>
      </c>
      <c r="J39" s="164">
        <f t="shared" si="10"/>
        <v>0</v>
      </c>
      <c r="K39" s="147">
        <f t="shared" si="11"/>
        <v>0</v>
      </c>
      <c r="L39" s="147">
        <f t="shared" si="12"/>
        <v>0</v>
      </c>
      <c r="M39" s="147">
        <f t="shared" si="13"/>
        <v>0.17049741480167516</v>
      </c>
      <c r="N39" s="147">
        <f t="shared" si="14"/>
        <v>0.18122173668520819</v>
      </c>
      <c r="O39" s="164">
        <f t="shared" si="15"/>
        <v>0.19262062058480117</v>
      </c>
      <c r="P39" s="147">
        <f t="shared" si="16"/>
        <v>0</v>
      </c>
      <c r="Q39" s="147">
        <f t="shared" si="17"/>
        <v>0</v>
      </c>
      <c r="R39" s="147">
        <f t="shared" si="18"/>
        <v>0</v>
      </c>
      <c r="S39" s="156">
        <f t="shared" si="19"/>
        <v>0</v>
      </c>
      <c r="T39" s="156">
        <f t="shared" si="20"/>
        <v>0</v>
      </c>
      <c r="U39" s="165">
        <f t="shared" si="27"/>
        <v>0</v>
      </c>
      <c r="W39" s="154">
        <f t="shared" si="22"/>
        <v>0.94082209960187191</v>
      </c>
    </row>
    <row r="40" spans="1:23" x14ac:dyDescent="0.25">
      <c r="A40" s="163"/>
      <c r="B40" s="163"/>
      <c r="C40" s="438"/>
      <c r="D40" s="147" t="s">
        <v>208</v>
      </c>
      <c r="E40" s="166">
        <f t="shared" si="23"/>
        <v>0</v>
      </c>
      <c r="F40" s="167">
        <f t="shared" si="24"/>
        <v>0</v>
      </c>
      <c r="G40" s="168">
        <f t="shared" si="25"/>
        <v>0</v>
      </c>
      <c r="H40" s="147">
        <f t="shared" si="28"/>
        <v>5.9177900398128098E-2</v>
      </c>
      <c r="I40" s="164">
        <f t="shared" si="28"/>
        <v>0.4</v>
      </c>
      <c r="J40" s="164">
        <f t="shared" si="10"/>
        <v>0</v>
      </c>
      <c r="K40" s="147">
        <f t="shared" si="11"/>
        <v>0</v>
      </c>
      <c r="L40" s="147">
        <f t="shared" si="12"/>
        <v>0</v>
      </c>
      <c r="M40" s="147">
        <f t="shared" si="13"/>
        <v>0.16040773577040329</v>
      </c>
      <c r="N40" s="147">
        <f t="shared" si="14"/>
        <v>0.17049741480167516</v>
      </c>
      <c r="O40" s="164">
        <f t="shared" si="15"/>
        <v>0.18122173668520819</v>
      </c>
      <c r="P40" s="147">
        <f t="shared" si="16"/>
        <v>0</v>
      </c>
      <c r="Q40" s="147">
        <f t="shared" si="17"/>
        <v>0</v>
      </c>
      <c r="R40" s="147">
        <f t="shared" si="18"/>
        <v>0</v>
      </c>
      <c r="S40" s="156">
        <f t="shared" si="19"/>
        <v>0</v>
      </c>
      <c r="T40" s="156">
        <f t="shared" si="20"/>
        <v>0</v>
      </c>
      <c r="U40" s="165">
        <f t="shared" si="27"/>
        <v>0</v>
      </c>
      <c r="W40" s="154">
        <f t="shared" si="22"/>
        <v>0.94082209960187191</v>
      </c>
    </row>
    <row r="41" spans="1:23" x14ac:dyDescent="0.25">
      <c r="A41" s="163"/>
      <c r="B41" s="163"/>
      <c r="C41" s="438"/>
      <c r="D41" s="147" t="s">
        <v>209</v>
      </c>
      <c r="E41" s="166">
        <f t="shared" si="23"/>
        <v>0</v>
      </c>
      <c r="F41" s="167">
        <f t="shared" si="24"/>
        <v>0</v>
      </c>
      <c r="G41" s="168">
        <f t="shared" si="25"/>
        <v>0</v>
      </c>
      <c r="H41" s="147">
        <f t="shared" si="28"/>
        <v>5.9177900398128098E-2</v>
      </c>
      <c r="I41" s="164">
        <f t="shared" si="28"/>
        <v>0.4</v>
      </c>
      <c r="J41" s="164">
        <f t="shared" si="10"/>
        <v>0</v>
      </c>
      <c r="K41" s="147">
        <f t="shared" si="11"/>
        <v>0</v>
      </c>
      <c r="L41" s="147">
        <f t="shared" si="12"/>
        <v>0</v>
      </c>
      <c r="M41" s="147">
        <f t="shared" si="13"/>
        <v>0.15091514275989312</v>
      </c>
      <c r="N41" s="147">
        <f t="shared" si="14"/>
        <v>0.16040773577040329</v>
      </c>
      <c r="O41" s="164">
        <f t="shared" si="15"/>
        <v>0.17049741480167516</v>
      </c>
      <c r="P41" s="147">
        <f t="shared" si="16"/>
        <v>0</v>
      </c>
      <c r="Q41" s="147">
        <f t="shared" si="17"/>
        <v>0</v>
      </c>
      <c r="R41" s="147">
        <f t="shared" si="18"/>
        <v>0</v>
      </c>
      <c r="S41" s="156">
        <f t="shared" si="19"/>
        <v>0</v>
      </c>
      <c r="T41" s="156">
        <f t="shared" si="20"/>
        <v>0</v>
      </c>
      <c r="U41" s="165">
        <f t="shared" si="27"/>
        <v>0</v>
      </c>
      <c r="W41" s="154">
        <f t="shared" si="22"/>
        <v>0.94082209960187191</v>
      </c>
    </row>
    <row r="42" spans="1:23" x14ac:dyDescent="0.25">
      <c r="A42" s="163"/>
      <c r="B42" s="163"/>
      <c r="C42" s="438"/>
      <c r="D42" s="147" t="s">
        <v>210</v>
      </c>
      <c r="E42" s="166">
        <f t="shared" si="23"/>
        <v>0</v>
      </c>
      <c r="F42" s="167">
        <f t="shared" si="24"/>
        <v>0</v>
      </c>
      <c r="G42" s="168">
        <f t="shared" si="25"/>
        <v>0</v>
      </c>
      <c r="H42" s="147">
        <f t="shared" si="28"/>
        <v>5.9177900398128098E-2</v>
      </c>
      <c r="I42" s="164">
        <f t="shared" si="28"/>
        <v>0.4</v>
      </c>
      <c r="J42" s="164">
        <f t="shared" si="10"/>
        <v>0</v>
      </c>
      <c r="K42" s="147">
        <f t="shared" si="11"/>
        <v>0</v>
      </c>
      <c r="L42" s="147">
        <f t="shared" si="12"/>
        <v>0</v>
      </c>
      <c r="M42" s="147">
        <f t="shared" si="13"/>
        <v>0.14198430147307889</v>
      </c>
      <c r="N42" s="147">
        <f t="shared" si="14"/>
        <v>0.15091514275989312</v>
      </c>
      <c r="O42" s="164">
        <f t="shared" si="15"/>
        <v>0.16040773577040329</v>
      </c>
      <c r="P42" s="147">
        <f t="shared" si="16"/>
        <v>0</v>
      </c>
      <c r="Q42" s="147">
        <f t="shared" si="17"/>
        <v>0</v>
      </c>
      <c r="R42" s="147">
        <f t="shared" si="18"/>
        <v>0</v>
      </c>
      <c r="S42" s="156">
        <f t="shared" si="19"/>
        <v>0</v>
      </c>
      <c r="T42" s="156">
        <f t="shared" si="20"/>
        <v>0</v>
      </c>
      <c r="U42" s="165">
        <f t="shared" si="27"/>
        <v>0</v>
      </c>
      <c r="W42" s="154">
        <f t="shared" si="22"/>
        <v>0.94082209960187191</v>
      </c>
    </row>
    <row r="43" spans="1:23" x14ac:dyDescent="0.25">
      <c r="A43" s="163"/>
      <c r="B43" s="163"/>
      <c r="C43" s="438"/>
      <c r="D43" s="147" t="s">
        <v>211</v>
      </c>
      <c r="E43" s="166">
        <f t="shared" si="23"/>
        <v>0</v>
      </c>
      <c r="F43" s="167">
        <f t="shared" si="24"/>
        <v>0</v>
      </c>
      <c r="G43" s="168">
        <f t="shared" si="25"/>
        <v>0</v>
      </c>
      <c r="H43" s="147">
        <f t="shared" si="28"/>
        <v>5.9177900398128098E-2</v>
      </c>
      <c r="I43" s="164">
        <f t="shared" si="28"/>
        <v>0.4</v>
      </c>
      <c r="J43" s="164">
        <f t="shared" si="10"/>
        <v>0</v>
      </c>
      <c r="K43" s="147">
        <f t="shared" si="11"/>
        <v>0</v>
      </c>
      <c r="L43" s="147">
        <f t="shared" si="12"/>
        <v>0</v>
      </c>
      <c r="M43" s="147">
        <f t="shared" si="13"/>
        <v>0.13358196862240723</v>
      </c>
      <c r="N43" s="147">
        <f t="shared" si="14"/>
        <v>0.14198430147307889</v>
      </c>
      <c r="O43" s="164">
        <f t="shared" si="15"/>
        <v>0.15091514275989312</v>
      </c>
      <c r="P43" s="147">
        <f t="shared" si="16"/>
        <v>0</v>
      </c>
      <c r="Q43" s="147">
        <f t="shared" si="17"/>
        <v>0</v>
      </c>
      <c r="R43" s="147">
        <f t="shared" si="18"/>
        <v>0</v>
      </c>
      <c r="S43" s="156">
        <f t="shared" si="19"/>
        <v>0</v>
      </c>
      <c r="T43" s="156">
        <f t="shared" si="20"/>
        <v>0</v>
      </c>
      <c r="U43" s="165">
        <f t="shared" si="27"/>
        <v>0</v>
      </c>
      <c r="W43" s="154">
        <f t="shared" si="22"/>
        <v>0.94082209960187191</v>
      </c>
    </row>
    <row r="44" spans="1:23" x14ac:dyDescent="0.25">
      <c r="A44" s="163"/>
      <c r="B44" s="163"/>
      <c r="C44" s="438"/>
      <c r="D44" s="147" t="s">
        <v>212</v>
      </c>
      <c r="E44" s="166">
        <f t="shared" si="23"/>
        <v>0</v>
      </c>
      <c r="F44" s="167">
        <f t="shared" si="24"/>
        <v>0</v>
      </c>
      <c r="G44" s="168">
        <f t="shared" si="25"/>
        <v>0</v>
      </c>
      <c r="H44" s="147">
        <f t="shared" si="28"/>
        <v>5.9177900398128098E-2</v>
      </c>
      <c r="I44" s="164">
        <f t="shared" si="28"/>
        <v>0.4</v>
      </c>
      <c r="J44" s="164">
        <f t="shared" si="10"/>
        <v>0</v>
      </c>
      <c r="K44" s="147">
        <f t="shared" si="11"/>
        <v>0</v>
      </c>
      <c r="L44" s="147">
        <f t="shared" si="12"/>
        <v>0</v>
      </c>
      <c r="M44" s="147">
        <f t="shared" si="13"/>
        <v>0.12567686818828455</v>
      </c>
      <c r="N44" s="147">
        <f t="shared" si="14"/>
        <v>0.13358196862240723</v>
      </c>
      <c r="O44" s="164">
        <f t="shared" si="15"/>
        <v>0.14198430147307889</v>
      </c>
      <c r="P44" s="147">
        <f t="shared" si="16"/>
        <v>0</v>
      </c>
      <c r="Q44" s="147">
        <f t="shared" si="17"/>
        <v>0</v>
      </c>
      <c r="R44" s="147">
        <f t="shared" si="18"/>
        <v>0</v>
      </c>
      <c r="S44" s="156">
        <f t="shared" si="19"/>
        <v>0</v>
      </c>
      <c r="T44" s="156">
        <f t="shared" si="20"/>
        <v>0</v>
      </c>
      <c r="U44" s="165">
        <f t="shared" si="27"/>
        <v>0</v>
      </c>
      <c r="W44" s="154">
        <f t="shared" si="22"/>
        <v>0.94082209960187191</v>
      </c>
    </row>
    <row r="45" spans="1:23" x14ac:dyDescent="0.25">
      <c r="A45" s="163"/>
      <c r="B45" s="163"/>
      <c r="C45" s="438"/>
      <c r="D45" s="147" t="s">
        <v>213</v>
      </c>
      <c r="E45" s="166">
        <f t="shared" si="23"/>
        <v>0</v>
      </c>
      <c r="F45" s="167">
        <f t="shared" si="24"/>
        <v>0</v>
      </c>
      <c r="G45" s="168">
        <f t="shared" si="25"/>
        <v>0</v>
      </c>
      <c r="H45" s="147">
        <f t="shared" si="28"/>
        <v>5.9177900398128098E-2</v>
      </c>
      <c r="I45" s="164">
        <f t="shared" si="28"/>
        <v>0.4</v>
      </c>
      <c r="J45" s="164">
        <f t="shared" si="10"/>
        <v>0</v>
      </c>
      <c r="K45" s="147">
        <f t="shared" si="11"/>
        <v>0</v>
      </c>
      <c r="L45" s="147">
        <f t="shared" si="12"/>
        <v>0</v>
      </c>
      <c r="M45" s="147">
        <f t="shared" si="13"/>
        <v>0.11823957500028957</v>
      </c>
      <c r="N45" s="147">
        <f t="shared" si="14"/>
        <v>0.12567686818828455</v>
      </c>
      <c r="O45" s="164">
        <f t="shared" si="15"/>
        <v>0.13358196862240723</v>
      </c>
      <c r="P45" s="147">
        <f t="shared" si="16"/>
        <v>0</v>
      </c>
      <c r="Q45" s="147">
        <f t="shared" si="17"/>
        <v>0</v>
      </c>
      <c r="R45" s="147">
        <f t="shared" si="18"/>
        <v>0</v>
      </c>
      <c r="S45" s="156">
        <f t="shared" si="19"/>
        <v>0</v>
      </c>
      <c r="T45" s="156">
        <f t="shared" si="20"/>
        <v>0</v>
      </c>
      <c r="U45" s="165">
        <f t="shared" si="27"/>
        <v>0</v>
      </c>
      <c r="W45" s="154">
        <f t="shared" si="22"/>
        <v>0.94082209960187191</v>
      </c>
    </row>
    <row r="46" spans="1:23" x14ac:dyDescent="0.25">
      <c r="A46" s="163"/>
      <c r="B46" s="163"/>
      <c r="C46" s="438"/>
      <c r="D46" s="147" t="s">
        <v>214</v>
      </c>
      <c r="E46" s="166">
        <f t="shared" si="23"/>
        <v>0</v>
      </c>
      <c r="F46" s="167">
        <f t="shared" si="24"/>
        <v>0</v>
      </c>
      <c r="G46" s="168">
        <f t="shared" si="25"/>
        <v>0</v>
      </c>
      <c r="H46" s="147">
        <f t="shared" si="28"/>
        <v>5.9177900398128098E-2</v>
      </c>
      <c r="I46" s="164">
        <f t="shared" si="28"/>
        <v>0.4</v>
      </c>
      <c r="J46" s="164">
        <f t="shared" si="10"/>
        <v>0</v>
      </c>
      <c r="K46" s="147">
        <f t="shared" si="11"/>
        <v>0</v>
      </c>
      <c r="L46" s="147">
        <f t="shared" si="12"/>
        <v>0</v>
      </c>
      <c r="M46" s="147">
        <f t="shared" si="13"/>
        <v>0.11124240520780544</v>
      </c>
      <c r="N46" s="147">
        <f t="shared" si="14"/>
        <v>0.11823957500028957</v>
      </c>
      <c r="O46" s="164">
        <f t="shared" si="15"/>
        <v>0.12567686818828455</v>
      </c>
      <c r="P46" s="147">
        <f t="shared" si="16"/>
        <v>0</v>
      </c>
      <c r="Q46" s="147">
        <f t="shared" si="17"/>
        <v>0</v>
      </c>
      <c r="R46" s="147">
        <f t="shared" si="18"/>
        <v>0</v>
      </c>
      <c r="S46" s="156">
        <f t="shared" si="19"/>
        <v>0</v>
      </c>
      <c r="T46" s="156">
        <f t="shared" si="20"/>
        <v>0</v>
      </c>
      <c r="U46" s="165">
        <f t="shared" si="27"/>
        <v>0</v>
      </c>
      <c r="W46" s="154">
        <f t="shared" si="22"/>
        <v>0.94082209960187191</v>
      </c>
    </row>
    <row r="47" spans="1:23" x14ac:dyDescent="0.25">
      <c r="A47" s="163"/>
      <c r="B47" s="163"/>
      <c r="C47" s="438"/>
      <c r="D47" s="147" t="s">
        <v>215</v>
      </c>
      <c r="E47" s="166">
        <f t="shared" si="23"/>
        <v>0</v>
      </c>
      <c r="F47" s="167">
        <f t="shared" si="24"/>
        <v>0</v>
      </c>
      <c r="G47" s="168">
        <f t="shared" si="25"/>
        <v>0</v>
      </c>
      <c r="H47" s="147">
        <f t="shared" si="28"/>
        <v>5.9177900398128098E-2</v>
      </c>
      <c r="I47" s="164">
        <f t="shared" si="28"/>
        <v>0.4</v>
      </c>
      <c r="J47" s="164">
        <f t="shared" si="10"/>
        <v>0</v>
      </c>
      <c r="K47" s="147">
        <f t="shared" si="11"/>
        <v>0</v>
      </c>
      <c r="L47" s="147">
        <f t="shared" si="12"/>
        <v>0</v>
      </c>
      <c r="M47" s="147">
        <f t="shared" si="13"/>
        <v>0.10465931323236972</v>
      </c>
      <c r="N47" s="147">
        <f t="shared" si="14"/>
        <v>0.11124240520780544</v>
      </c>
      <c r="O47" s="164">
        <f t="shared" si="15"/>
        <v>0.11823957500028957</v>
      </c>
      <c r="P47" s="147">
        <f t="shared" si="16"/>
        <v>0</v>
      </c>
      <c r="Q47" s="147">
        <f t="shared" si="17"/>
        <v>0</v>
      </c>
      <c r="R47" s="147">
        <f t="shared" si="18"/>
        <v>0</v>
      </c>
      <c r="S47" s="156">
        <f t="shared" si="19"/>
        <v>0</v>
      </c>
      <c r="T47" s="156">
        <f t="shared" si="20"/>
        <v>0</v>
      </c>
      <c r="U47" s="165">
        <f t="shared" si="27"/>
        <v>0</v>
      </c>
      <c r="W47" s="154">
        <f t="shared" si="22"/>
        <v>0.94082209960187191</v>
      </c>
    </row>
    <row r="48" spans="1:23" x14ac:dyDescent="0.25">
      <c r="A48" s="163"/>
      <c r="B48" s="163"/>
      <c r="C48" s="438"/>
      <c r="D48" s="147" t="s">
        <v>216</v>
      </c>
      <c r="E48" s="166">
        <f t="shared" si="23"/>
        <v>0</v>
      </c>
      <c r="F48" s="167">
        <f t="shared" si="24"/>
        <v>0</v>
      </c>
      <c r="G48" s="168">
        <f t="shared" si="25"/>
        <v>0</v>
      </c>
      <c r="H48" s="147">
        <f t="shared" si="28"/>
        <v>5.9177900398128098E-2</v>
      </c>
      <c r="I48" s="164">
        <f t="shared" si="28"/>
        <v>0.4</v>
      </c>
      <c r="J48" s="164">
        <f t="shared" si="10"/>
        <v>0</v>
      </c>
      <c r="K48" s="147">
        <f t="shared" si="11"/>
        <v>0</v>
      </c>
      <c r="L48" s="147">
        <f t="shared" si="12"/>
        <v>0</v>
      </c>
      <c r="M48" s="147">
        <f t="shared" si="13"/>
        <v>9.8465794818168056E-2</v>
      </c>
      <c r="N48" s="147">
        <f t="shared" si="14"/>
        <v>0.10465931323236972</v>
      </c>
      <c r="O48" s="164">
        <f t="shared" si="15"/>
        <v>0.11124240520780544</v>
      </c>
      <c r="P48" s="147">
        <f t="shared" si="16"/>
        <v>0</v>
      </c>
      <c r="Q48" s="147">
        <f t="shared" si="17"/>
        <v>0</v>
      </c>
      <c r="R48" s="147">
        <f t="shared" si="18"/>
        <v>0</v>
      </c>
      <c r="S48" s="156">
        <f t="shared" si="19"/>
        <v>0</v>
      </c>
      <c r="T48" s="156">
        <f t="shared" si="20"/>
        <v>0</v>
      </c>
      <c r="U48" s="165">
        <f t="shared" si="27"/>
        <v>0</v>
      </c>
      <c r="W48" s="154">
        <f t="shared" si="22"/>
        <v>0.94082209960187191</v>
      </c>
    </row>
    <row r="49" spans="1:23" x14ac:dyDescent="0.25">
      <c r="A49" s="163"/>
      <c r="B49" s="163"/>
      <c r="C49" s="438"/>
      <c r="D49" s="147" t="s">
        <v>217</v>
      </c>
      <c r="E49" s="166">
        <f t="shared" si="23"/>
        <v>0</v>
      </c>
      <c r="F49" s="167">
        <f t="shared" si="24"/>
        <v>0</v>
      </c>
      <c r="G49" s="168">
        <f t="shared" si="25"/>
        <v>0</v>
      </c>
      <c r="H49" s="147">
        <f t="shared" si="28"/>
        <v>5.9177900398128098E-2</v>
      </c>
      <c r="I49" s="164">
        <f t="shared" si="28"/>
        <v>0.4</v>
      </c>
      <c r="J49" s="164">
        <f t="shared" si="10"/>
        <v>0</v>
      </c>
      <c r="K49" s="147">
        <f t="shared" si="11"/>
        <v>0</v>
      </c>
      <c r="L49" s="147">
        <f t="shared" si="12"/>
        <v>0</v>
      </c>
      <c r="M49" s="147">
        <f t="shared" si="13"/>
        <v>9.2638795819795991E-2</v>
      </c>
      <c r="N49" s="147">
        <f t="shared" si="14"/>
        <v>9.8465794818168056E-2</v>
      </c>
      <c r="O49" s="164">
        <f t="shared" si="15"/>
        <v>0.10465931323236972</v>
      </c>
      <c r="P49" s="147">
        <f t="shared" si="16"/>
        <v>0</v>
      </c>
      <c r="Q49" s="147">
        <f t="shared" si="17"/>
        <v>0</v>
      </c>
      <c r="R49" s="147">
        <f t="shared" si="18"/>
        <v>0</v>
      </c>
      <c r="S49" s="156">
        <f t="shared" si="19"/>
        <v>0</v>
      </c>
      <c r="T49" s="156">
        <f t="shared" si="20"/>
        <v>0</v>
      </c>
      <c r="U49" s="165">
        <f t="shared" si="27"/>
        <v>0</v>
      </c>
      <c r="W49" s="154">
        <f t="shared" si="22"/>
        <v>0.94082209960187191</v>
      </c>
    </row>
    <row r="50" spans="1:23" x14ac:dyDescent="0.25">
      <c r="A50" s="163"/>
      <c r="B50" s="163"/>
      <c r="C50" s="438"/>
      <c r="D50" s="147" t="s">
        <v>218</v>
      </c>
      <c r="E50" s="166">
        <f t="shared" si="23"/>
        <v>0</v>
      </c>
      <c r="F50" s="167">
        <f t="shared" si="24"/>
        <v>0</v>
      </c>
      <c r="G50" s="168">
        <f t="shared" si="25"/>
        <v>0</v>
      </c>
      <c r="H50" s="147">
        <f t="shared" si="28"/>
        <v>5.9177900398128098E-2</v>
      </c>
      <c r="I50" s="164">
        <f t="shared" si="28"/>
        <v>0.4</v>
      </c>
      <c r="J50" s="164">
        <f t="shared" si="10"/>
        <v>0</v>
      </c>
      <c r="K50" s="147">
        <f t="shared" si="11"/>
        <v>0</v>
      </c>
      <c r="L50" s="147">
        <f t="shared" si="12"/>
        <v>0</v>
      </c>
      <c r="M50" s="147">
        <f t="shared" si="13"/>
        <v>8.7156626387769581E-2</v>
      </c>
      <c r="N50" s="147">
        <f t="shared" si="14"/>
        <v>9.2638795819795991E-2</v>
      </c>
      <c r="O50" s="164">
        <f t="shared" si="15"/>
        <v>9.8465794818168056E-2</v>
      </c>
      <c r="P50" s="147">
        <f t="shared" si="16"/>
        <v>0</v>
      </c>
      <c r="Q50" s="147">
        <f t="shared" si="17"/>
        <v>0</v>
      </c>
      <c r="R50" s="147">
        <f t="shared" si="18"/>
        <v>0</v>
      </c>
      <c r="S50" s="156">
        <f t="shared" si="19"/>
        <v>0</v>
      </c>
      <c r="T50" s="156">
        <f t="shared" si="20"/>
        <v>0</v>
      </c>
      <c r="U50" s="165">
        <f t="shared" si="27"/>
        <v>0</v>
      </c>
      <c r="W50" s="154">
        <f t="shared" si="22"/>
        <v>0.94082209960187191</v>
      </c>
    </row>
    <row r="51" spans="1:23" x14ac:dyDescent="0.25">
      <c r="A51" s="163"/>
      <c r="B51" s="163"/>
      <c r="C51" s="438"/>
      <c r="D51" s="147" t="s">
        <v>219</v>
      </c>
      <c r="E51" s="166">
        <f t="shared" si="23"/>
        <v>0</v>
      </c>
      <c r="F51" s="167">
        <f t="shared" si="24"/>
        <v>0</v>
      </c>
      <c r="G51" s="168">
        <f t="shared" si="25"/>
        <v>0</v>
      </c>
      <c r="H51" s="147">
        <f t="shared" si="28"/>
        <v>5.9177900398128098E-2</v>
      </c>
      <c r="I51" s="164">
        <f t="shared" si="28"/>
        <v>0.4</v>
      </c>
      <c r="J51" s="164">
        <f t="shared" si="10"/>
        <v>0</v>
      </c>
      <c r="K51" s="147">
        <f t="shared" si="11"/>
        <v>0</v>
      </c>
      <c r="L51" s="147">
        <f t="shared" si="12"/>
        <v>0</v>
      </c>
      <c r="M51" s="147">
        <f t="shared" si="13"/>
        <v>8.1998880232357296E-2</v>
      </c>
      <c r="N51" s="147">
        <f t="shared" si="14"/>
        <v>8.7156626387769581E-2</v>
      </c>
      <c r="O51" s="164">
        <f t="shared" si="15"/>
        <v>9.2638795819795991E-2</v>
      </c>
      <c r="P51" s="147">
        <f t="shared" si="16"/>
        <v>0</v>
      </c>
      <c r="Q51" s="147">
        <f t="shared" si="17"/>
        <v>0</v>
      </c>
      <c r="R51" s="147">
        <f t="shared" si="18"/>
        <v>0</v>
      </c>
      <c r="S51" s="156">
        <f t="shared" si="19"/>
        <v>0</v>
      </c>
      <c r="T51" s="156">
        <f t="shared" si="20"/>
        <v>0</v>
      </c>
      <c r="U51" s="165">
        <f t="shared" si="27"/>
        <v>0</v>
      </c>
      <c r="W51" s="154">
        <f t="shared" si="22"/>
        <v>0.94082209960187191</v>
      </c>
    </row>
    <row r="52" spans="1:23" x14ac:dyDescent="0.25">
      <c r="A52" s="163"/>
      <c r="B52" s="163"/>
      <c r="C52" s="438"/>
      <c r="D52" s="147" t="s">
        <v>220</v>
      </c>
      <c r="E52" s="166">
        <f t="shared" si="23"/>
        <v>0</v>
      </c>
      <c r="F52" s="167">
        <f t="shared" si="24"/>
        <v>0</v>
      </c>
      <c r="G52" s="168">
        <f t="shared" si="25"/>
        <v>0</v>
      </c>
      <c r="H52" s="147">
        <f t="shared" si="28"/>
        <v>5.9177900398128098E-2</v>
      </c>
      <c r="I52" s="164">
        <f t="shared" si="28"/>
        <v>0.4</v>
      </c>
      <c r="J52" s="164">
        <f t="shared" si="10"/>
        <v>0</v>
      </c>
      <c r="K52" s="147">
        <f t="shared" si="11"/>
        <v>0</v>
      </c>
      <c r="L52" s="147">
        <f t="shared" si="12"/>
        <v>0</v>
      </c>
      <c r="M52" s="147">
        <f t="shared" si="13"/>
        <v>7.7146358665208817E-2</v>
      </c>
      <c r="N52" s="147">
        <f t="shared" si="14"/>
        <v>8.1998880232357296E-2</v>
      </c>
      <c r="O52" s="164">
        <f t="shared" si="15"/>
        <v>8.7156626387769581E-2</v>
      </c>
      <c r="P52" s="147">
        <f t="shared" si="16"/>
        <v>0</v>
      </c>
      <c r="Q52" s="147">
        <f t="shared" si="17"/>
        <v>0</v>
      </c>
      <c r="R52" s="147">
        <f t="shared" si="18"/>
        <v>0</v>
      </c>
      <c r="S52" s="156">
        <f t="shared" si="19"/>
        <v>0</v>
      </c>
      <c r="T52" s="156">
        <f t="shared" si="20"/>
        <v>0</v>
      </c>
      <c r="U52" s="165">
        <f t="shared" si="27"/>
        <v>0</v>
      </c>
      <c r="W52" s="154">
        <f t="shared" si="22"/>
        <v>0.94082209960187191</v>
      </c>
    </row>
    <row r="53" spans="1:23" x14ac:dyDescent="0.25">
      <c r="A53" s="163"/>
      <c r="B53" s="163"/>
      <c r="C53" s="438"/>
      <c r="D53" s="147" t="s">
        <v>221</v>
      </c>
      <c r="E53" s="166">
        <f t="shared" si="23"/>
        <v>0</v>
      </c>
      <c r="F53" s="167">
        <f t="shared" si="24"/>
        <v>0</v>
      </c>
      <c r="G53" s="168">
        <f t="shared" si="25"/>
        <v>0</v>
      </c>
      <c r="H53" s="147">
        <f t="shared" ref="H53:I59" si="29">H52</f>
        <v>5.9177900398128098E-2</v>
      </c>
      <c r="I53" s="164">
        <f t="shared" si="29"/>
        <v>0.4</v>
      </c>
      <c r="J53" s="164">
        <f t="shared" si="10"/>
        <v>0</v>
      </c>
      <c r="K53" s="147">
        <f t="shared" si="11"/>
        <v>0</v>
      </c>
      <c r="L53" s="147">
        <f t="shared" si="12"/>
        <v>0</v>
      </c>
      <c r="M53" s="147">
        <f t="shared" si="13"/>
        <v>7.2580999136040825E-2</v>
      </c>
      <c r="N53" s="147">
        <f t="shared" si="14"/>
        <v>7.7146358665208817E-2</v>
      </c>
      <c r="O53" s="164">
        <f t="shared" si="15"/>
        <v>8.1998880232357296E-2</v>
      </c>
      <c r="P53" s="147">
        <f t="shared" si="16"/>
        <v>0</v>
      </c>
      <c r="Q53" s="147">
        <f t="shared" si="17"/>
        <v>0</v>
      </c>
      <c r="R53" s="147">
        <f t="shared" si="18"/>
        <v>0</v>
      </c>
      <c r="S53" s="156">
        <f t="shared" si="19"/>
        <v>0</v>
      </c>
      <c r="T53" s="156">
        <f t="shared" si="20"/>
        <v>0</v>
      </c>
      <c r="U53" s="165">
        <f t="shared" si="27"/>
        <v>0</v>
      </c>
      <c r="W53" s="154">
        <f t="shared" si="22"/>
        <v>0.94082209960187191</v>
      </c>
    </row>
    <row r="54" spans="1:23" x14ac:dyDescent="0.25">
      <c r="A54" s="163"/>
      <c r="B54" s="163"/>
      <c r="C54" s="438"/>
      <c r="D54" s="147" t="s">
        <v>222</v>
      </c>
      <c r="E54" s="166">
        <f t="shared" si="23"/>
        <v>0</v>
      </c>
      <c r="F54" s="167">
        <f t="shared" si="24"/>
        <v>0</v>
      </c>
      <c r="G54" s="168">
        <f t="shared" si="25"/>
        <v>0</v>
      </c>
      <c r="H54" s="147">
        <f t="shared" si="29"/>
        <v>5.9177900398128098E-2</v>
      </c>
      <c r="I54" s="164">
        <f t="shared" si="29"/>
        <v>0.4</v>
      </c>
      <c r="J54" s="164">
        <f t="shared" si="10"/>
        <v>0</v>
      </c>
      <c r="K54" s="147">
        <f t="shared" si="11"/>
        <v>0</v>
      </c>
      <c r="L54" s="147">
        <f t="shared" si="12"/>
        <v>0</v>
      </c>
      <c r="M54" s="147">
        <f t="shared" si="13"/>
        <v>6.8285807998371584E-2</v>
      </c>
      <c r="N54" s="147">
        <f t="shared" si="14"/>
        <v>7.2580999136040825E-2</v>
      </c>
      <c r="O54" s="164">
        <f t="shared" si="15"/>
        <v>7.7146358665208817E-2</v>
      </c>
      <c r="P54" s="147">
        <f t="shared" si="16"/>
        <v>0</v>
      </c>
      <c r="Q54" s="147">
        <f t="shared" si="17"/>
        <v>0</v>
      </c>
      <c r="R54" s="147">
        <f t="shared" si="18"/>
        <v>0</v>
      </c>
      <c r="S54" s="156">
        <f t="shared" si="19"/>
        <v>0</v>
      </c>
      <c r="T54" s="156">
        <f t="shared" si="20"/>
        <v>0</v>
      </c>
      <c r="U54" s="165">
        <f t="shared" si="27"/>
        <v>0</v>
      </c>
      <c r="W54" s="154">
        <f t="shared" si="22"/>
        <v>0.94082209960187191</v>
      </c>
    </row>
    <row r="55" spans="1:23" x14ac:dyDescent="0.25">
      <c r="A55" s="163"/>
      <c r="B55" s="163"/>
      <c r="C55" s="438"/>
      <c r="D55" s="147" t="s">
        <v>223</v>
      </c>
      <c r="E55" s="166">
        <f t="shared" si="23"/>
        <v>0</v>
      </c>
      <c r="F55" s="167">
        <f t="shared" si="24"/>
        <v>0</v>
      </c>
      <c r="G55" s="168">
        <f t="shared" si="25"/>
        <v>0</v>
      </c>
      <c r="H55" s="147">
        <f t="shared" si="29"/>
        <v>5.9177900398128098E-2</v>
      </c>
      <c r="I55" s="164">
        <f t="shared" si="29"/>
        <v>0.4</v>
      </c>
      <c r="J55" s="164">
        <f t="shared" si="10"/>
        <v>0</v>
      </c>
      <c r="K55" s="147">
        <f t="shared" si="11"/>
        <v>0</v>
      </c>
      <c r="L55" s="147">
        <f t="shared" si="12"/>
        <v>0</v>
      </c>
      <c r="M55" s="147">
        <f t="shared" si="13"/>
        <v>6.4244797254038255E-2</v>
      </c>
      <c r="N55" s="147">
        <f t="shared" si="14"/>
        <v>6.8285807998371584E-2</v>
      </c>
      <c r="O55" s="164">
        <f t="shared" si="15"/>
        <v>7.2580999136040825E-2</v>
      </c>
      <c r="P55" s="147">
        <f t="shared" si="16"/>
        <v>0</v>
      </c>
      <c r="Q55" s="147">
        <f t="shared" si="17"/>
        <v>0</v>
      </c>
      <c r="R55" s="147">
        <f t="shared" si="18"/>
        <v>0</v>
      </c>
      <c r="S55" s="156">
        <f t="shared" si="19"/>
        <v>0</v>
      </c>
      <c r="T55" s="156">
        <f t="shared" si="20"/>
        <v>0</v>
      </c>
      <c r="U55" s="165">
        <f t="shared" si="27"/>
        <v>0</v>
      </c>
      <c r="W55" s="154">
        <f t="shared" si="22"/>
        <v>0.94082209960187191</v>
      </c>
    </row>
    <row r="56" spans="1:23" x14ac:dyDescent="0.25">
      <c r="A56" s="163"/>
      <c r="B56" s="163"/>
      <c r="C56" s="438"/>
      <c r="D56" s="147" t="s">
        <v>224</v>
      </c>
      <c r="E56" s="166">
        <f t="shared" si="23"/>
        <v>0</v>
      </c>
      <c r="F56" s="167">
        <f t="shared" si="24"/>
        <v>0</v>
      </c>
      <c r="G56" s="168">
        <f t="shared" si="25"/>
        <v>0</v>
      </c>
      <c r="H56" s="147">
        <f t="shared" si="29"/>
        <v>5.9177900398128098E-2</v>
      </c>
      <c r="I56" s="164">
        <f t="shared" si="29"/>
        <v>0.4</v>
      </c>
      <c r="J56" s="164">
        <f t="shared" si="10"/>
        <v>0</v>
      </c>
      <c r="K56" s="147">
        <f t="shared" si="11"/>
        <v>0</v>
      </c>
      <c r="L56" s="147">
        <f t="shared" si="12"/>
        <v>0</v>
      </c>
      <c r="M56" s="147">
        <f t="shared" si="13"/>
        <v>6.0442925041040846E-2</v>
      </c>
      <c r="N56" s="147">
        <f t="shared" si="14"/>
        <v>6.4244797254038255E-2</v>
      </c>
      <c r="O56" s="164">
        <f t="shared" si="15"/>
        <v>6.8285807998371584E-2</v>
      </c>
      <c r="P56" s="147">
        <f t="shared" si="16"/>
        <v>0</v>
      </c>
      <c r="Q56" s="147">
        <f t="shared" si="17"/>
        <v>0</v>
      </c>
      <c r="R56" s="147">
        <f t="shared" si="18"/>
        <v>0</v>
      </c>
      <c r="S56" s="156">
        <f t="shared" si="19"/>
        <v>0</v>
      </c>
      <c r="T56" s="156">
        <f t="shared" si="20"/>
        <v>0</v>
      </c>
      <c r="U56" s="165">
        <f t="shared" si="27"/>
        <v>0</v>
      </c>
      <c r="W56" s="154">
        <f t="shared" si="22"/>
        <v>0.94082209960187191</v>
      </c>
    </row>
    <row r="57" spans="1:23" x14ac:dyDescent="0.25">
      <c r="A57" s="163"/>
      <c r="B57" s="163"/>
      <c r="C57" s="438"/>
      <c r="D57" s="147" t="s">
        <v>225</v>
      </c>
      <c r="E57" s="166">
        <f t="shared" si="23"/>
        <v>0</v>
      </c>
      <c r="F57" s="167">
        <f t="shared" si="24"/>
        <v>0</v>
      </c>
      <c r="G57" s="168">
        <f t="shared" si="25"/>
        <v>0</v>
      </c>
      <c r="H57" s="147">
        <f t="shared" si="29"/>
        <v>5.9177900398128098E-2</v>
      </c>
      <c r="I57" s="164">
        <f t="shared" si="29"/>
        <v>0.4</v>
      </c>
      <c r="J57" s="164">
        <f t="shared" si="10"/>
        <v>0</v>
      </c>
      <c r="K57" s="147">
        <f t="shared" si="11"/>
        <v>0</v>
      </c>
      <c r="L57" s="147">
        <f t="shared" si="12"/>
        <v>0</v>
      </c>
      <c r="M57" s="147">
        <f t="shared" si="13"/>
        <v>5.6866039643190605E-2</v>
      </c>
      <c r="N57" s="147">
        <f t="shared" si="14"/>
        <v>6.0442925041040846E-2</v>
      </c>
      <c r="O57" s="164">
        <f t="shared" si="15"/>
        <v>6.4244797254038255E-2</v>
      </c>
      <c r="P57" s="147">
        <f t="shared" si="16"/>
        <v>0</v>
      </c>
      <c r="Q57" s="147">
        <f t="shared" si="17"/>
        <v>0</v>
      </c>
      <c r="R57" s="147">
        <f t="shared" si="18"/>
        <v>0</v>
      </c>
      <c r="S57" s="156">
        <f t="shared" si="19"/>
        <v>0</v>
      </c>
      <c r="T57" s="156">
        <f t="shared" si="20"/>
        <v>0</v>
      </c>
      <c r="U57" s="165">
        <f t="shared" si="27"/>
        <v>0</v>
      </c>
      <c r="W57" s="154">
        <f t="shared" si="22"/>
        <v>0.94082209960187191</v>
      </c>
    </row>
    <row r="58" spans="1:23" x14ac:dyDescent="0.25">
      <c r="A58" s="163"/>
      <c r="B58" s="163"/>
      <c r="C58" s="438"/>
      <c r="D58" s="147" t="s">
        <v>226</v>
      </c>
      <c r="E58" s="166">
        <f t="shared" si="23"/>
        <v>0</v>
      </c>
      <c r="F58" s="167">
        <f t="shared" si="24"/>
        <v>0</v>
      </c>
      <c r="G58" s="168">
        <f t="shared" si="25"/>
        <v>0</v>
      </c>
      <c r="H58" s="147">
        <f t="shared" si="29"/>
        <v>5.9177900398128098E-2</v>
      </c>
      <c r="I58" s="164">
        <f t="shared" si="29"/>
        <v>0.4</v>
      </c>
      <c r="J58" s="164">
        <f t="shared" si="10"/>
        <v>0</v>
      </c>
      <c r="K58" s="147">
        <f t="shared" si="11"/>
        <v>0</v>
      </c>
      <c r="L58" s="147">
        <f t="shared" si="12"/>
        <v>0</v>
      </c>
      <c r="M58" s="147">
        <f t="shared" si="13"/>
        <v>5.3500826813149868E-2</v>
      </c>
      <c r="N58" s="147">
        <f t="shared" si="14"/>
        <v>5.6866039643190605E-2</v>
      </c>
      <c r="O58" s="164">
        <f t="shared" si="15"/>
        <v>6.0442925041040846E-2</v>
      </c>
      <c r="P58" s="147">
        <f t="shared" si="16"/>
        <v>0</v>
      </c>
      <c r="Q58" s="147">
        <f t="shared" si="17"/>
        <v>0</v>
      </c>
      <c r="R58" s="147">
        <f t="shared" si="18"/>
        <v>0</v>
      </c>
      <c r="S58" s="156">
        <f t="shared" si="19"/>
        <v>0</v>
      </c>
      <c r="T58" s="156">
        <f t="shared" si="20"/>
        <v>0</v>
      </c>
      <c r="U58" s="165">
        <f t="shared" si="27"/>
        <v>0</v>
      </c>
      <c r="W58" s="154">
        <f t="shared" si="22"/>
        <v>0.94082209960187191</v>
      </c>
    </row>
    <row r="59" spans="1:23" x14ac:dyDescent="0.25">
      <c r="A59" s="163"/>
      <c r="B59" s="163"/>
      <c r="C59" s="438"/>
      <c r="D59" s="147" t="s">
        <v>227</v>
      </c>
      <c r="E59" s="166">
        <f t="shared" si="23"/>
        <v>0</v>
      </c>
      <c r="F59" s="167">
        <f t="shared" si="24"/>
        <v>0</v>
      </c>
      <c r="G59" s="168">
        <f t="shared" si="25"/>
        <v>0</v>
      </c>
      <c r="H59" s="147">
        <f t="shared" si="29"/>
        <v>5.9177900398128098E-2</v>
      </c>
      <c r="I59" s="164">
        <f t="shared" si="29"/>
        <v>0.4</v>
      </c>
      <c r="J59" s="147">
        <f t="shared" si="10"/>
        <v>0</v>
      </c>
      <c r="K59" s="147">
        <f t="shared" si="11"/>
        <v>0</v>
      </c>
      <c r="L59" s="147">
        <f t="shared" si="12"/>
        <v>0</v>
      </c>
      <c r="M59" s="147">
        <f t="shared" si="13"/>
        <v>5.0334760212783783E-2</v>
      </c>
      <c r="N59" s="147">
        <f t="shared" si="14"/>
        <v>5.3500826813149868E-2</v>
      </c>
      <c r="O59" s="164">
        <f t="shared" si="15"/>
        <v>5.6866039643190605E-2</v>
      </c>
      <c r="P59" s="147">
        <f t="shared" si="16"/>
        <v>0</v>
      </c>
      <c r="Q59" s="147">
        <f t="shared" si="17"/>
        <v>0</v>
      </c>
      <c r="R59" s="147">
        <f t="shared" si="18"/>
        <v>0</v>
      </c>
      <c r="S59" s="156">
        <f t="shared" si="19"/>
        <v>0</v>
      </c>
      <c r="T59" s="156">
        <f t="shared" si="20"/>
        <v>0</v>
      </c>
      <c r="U59" s="165">
        <f t="shared" si="27"/>
        <v>0</v>
      </c>
      <c r="W59" s="154">
        <f t="shared" si="22"/>
        <v>0.94082209960187191</v>
      </c>
    </row>
    <row r="60" spans="1:23" x14ac:dyDescent="0.25">
      <c r="A60" s="163"/>
      <c r="B60" s="163"/>
      <c r="C60" s="438"/>
      <c r="D60" s="147" t="s">
        <v>228</v>
      </c>
      <c r="E60" s="166">
        <f>IF(E59&gt;0.1,-100/($D$2-3)+E59,0)</f>
        <v>0</v>
      </c>
      <c r="F60" s="167">
        <f>IF(F59&gt;0.1,-100/($D$2-2)+F59,0)</f>
        <v>0</v>
      </c>
      <c r="G60" s="168">
        <f>IF(G59&gt;0.1,-100/($D$2-1)+G59,0)</f>
        <v>0</v>
      </c>
      <c r="H60" s="147">
        <f>H59</f>
        <v>5.9177900398128098E-2</v>
      </c>
      <c r="I60" s="164">
        <f>I59</f>
        <v>0.4</v>
      </c>
      <c r="J60" s="147">
        <f>I60*E60/100</f>
        <v>0</v>
      </c>
      <c r="K60" s="147">
        <f>I60*F60/100</f>
        <v>0</v>
      </c>
      <c r="L60" s="147">
        <f>I60*G60/100</f>
        <v>0</v>
      </c>
      <c r="M60" s="147">
        <f>M59*W59</f>
        <v>4.7356054786348002E-2</v>
      </c>
      <c r="N60" s="147">
        <f>N59*W59</f>
        <v>5.0334760212783783E-2</v>
      </c>
      <c r="O60" s="164">
        <f>O59*W59</f>
        <v>5.3500826813149868E-2</v>
      </c>
      <c r="P60" s="147">
        <f>H60*J60*M60</f>
        <v>0</v>
      </c>
      <c r="Q60" s="147">
        <f>N60*K60*H60</f>
        <v>0</v>
      </c>
      <c r="R60" s="147">
        <f>H60*L60*O60</f>
        <v>0</v>
      </c>
      <c r="S60" s="156">
        <f>P60*$E60</f>
        <v>0</v>
      </c>
      <c r="T60" s="156">
        <f>Q60*$F60</f>
        <v>0</v>
      </c>
      <c r="U60" s="165">
        <f>R60*$G60</f>
        <v>0</v>
      </c>
      <c r="W60" s="154">
        <f t="shared" si="22"/>
        <v>0.94082209960187191</v>
      </c>
    </row>
    <row r="61" spans="1:23" x14ac:dyDescent="0.25">
      <c r="A61" s="163"/>
      <c r="B61" s="163"/>
      <c r="C61" s="426"/>
      <c r="D61" s="157" t="s">
        <v>229</v>
      </c>
      <c r="E61" s="169">
        <f>IF(E60&gt;0.1,-100/($D$2-3)+E60,0)</f>
        <v>0</v>
      </c>
      <c r="F61" s="170">
        <f>IF(F60&gt;0.1,-100/($D$2-2)+F60,0)</f>
        <v>0</v>
      </c>
      <c r="G61" s="171">
        <f>IF(G60&gt;0.1,-100/($D$2-1)+G60,0)</f>
        <v>0</v>
      </c>
      <c r="H61" s="157">
        <f>H60</f>
        <v>5.9177900398128098E-2</v>
      </c>
      <c r="I61" s="172">
        <f>I60</f>
        <v>0.4</v>
      </c>
      <c r="J61" s="157">
        <f>I61*E61/100</f>
        <v>0</v>
      </c>
      <c r="K61" s="157">
        <f>I61*F61/100</f>
        <v>0</v>
      </c>
      <c r="L61" s="157">
        <f>I61*G61/100</f>
        <v>0</v>
      </c>
      <c r="M61" s="157">
        <f>M60*W60</f>
        <v>4.4553622892953205E-2</v>
      </c>
      <c r="N61" s="157">
        <f>N60*W60</f>
        <v>4.7356054786348002E-2</v>
      </c>
      <c r="O61" s="172">
        <f>O60*W60</f>
        <v>5.0334760212783783E-2</v>
      </c>
      <c r="P61" s="157">
        <f>H61*J61*M61</f>
        <v>0</v>
      </c>
      <c r="Q61" s="157">
        <f>N61*K61*H61</f>
        <v>0</v>
      </c>
      <c r="R61" s="157">
        <f>H61*L61*O61</f>
        <v>0</v>
      </c>
      <c r="S61" s="173">
        <f>P61*$E61</f>
        <v>0</v>
      </c>
      <c r="T61" s="173">
        <f>Q61*$F61</f>
        <v>0</v>
      </c>
      <c r="U61" s="174">
        <f>R61*$G61</f>
        <v>0</v>
      </c>
      <c r="W61" s="182">
        <f t="shared" si="22"/>
        <v>0.94082209960187191</v>
      </c>
    </row>
    <row r="62" spans="1:23" x14ac:dyDescent="0.25">
      <c r="V62" s="114"/>
    </row>
    <row r="63" spans="1:23" x14ac:dyDescent="0.25">
      <c r="P63" s="138" t="s">
        <v>230</v>
      </c>
      <c r="Q63" s="138" t="s">
        <v>230</v>
      </c>
      <c r="R63" s="138" t="s">
        <v>230</v>
      </c>
      <c r="S63" s="183" t="s">
        <v>231</v>
      </c>
      <c r="T63" s="122" t="s">
        <v>231</v>
      </c>
      <c r="U63" s="122" t="s">
        <v>231</v>
      </c>
    </row>
    <row r="64" spans="1:23" x14ac:dyDescent="0.25">
      <c r="O64" s="184" t="s">
        <v>11</v>
      </c>
      <c r="P64" s="185">
        <f>S64/$E$9</f>
        <v>6.7571798176599127E-2</v>
      </c>
      <c r="Q64" s="186"/>
      <c r="R64" s="186"/>
      <c r="S64" s="187">
        <f>SUM(S11:S59)</f>
        <v>6.757179817659912</v>
      </c>
      <c r="T64" s="114"/>
      <c r="U64" s="114"/>
      <c r="V64" s="145"/>
    </row>
    <row r="65" spans="15:21" x14ac:dyDescent="0.25">
      <c r="O65" s="184" t="s">
        <v>12</v>
      </c>
      <c r="P65" s="185"/>
      <c r="Q65" s="185">
        <f>T65/$E$9</f>
        <v>5.4044570640920823E-2</v>
      </c>
      <c r="R65" s="186"/>
      <c r="S65" s="145"/>
      <c r="T65" s="187">
        <f>SUM(T12:T59)</f>
        <v>5.4044570640920826</v>
      </c>
    </row>
    <row r="66" spans="15:21" x14ac:dyDescent="0.25">
      <c r="O66" s="188" t="s">
        <v>13</v>
      </c>
      <c r="P66" s="185"/>
      <c r="Q66" s="186"/>
      <c r="R66" s="185">
        <f>U66/$E$9</f>
        <v>4.0143349373472505E-2</v>
      </c>
      <c r="S66" s="145"/>
      <c r="T66" s="145"/>
      <c r="U66" s="187">
        <f>SUM(U13:U59)</f>
        <v>4.0143349373472503</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6"/>
  <sheetViews>
    <sheetView zoomScale="70" zoomScaleNormal="70" workbookViewId="0"/>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244</v>
      </c>
      <c r="K1" s="114" t="s">
        <v>245</v>
      </c>
    </row>
    <row r="2" spans="1:27" x14ac:dyDescent="0.25">
      <c r="B2" s="114" t="s">
        <v>157</v>
      </c>
      <c r="C2" s="115" t="s">
        <v>158</v>
      </c>
      <c r="D2" s="116">
        <f>'CR Path Generator'!$D$79</f>
        <v>30</v>
      </c>
      <c r="F2" s="114" t="s">
        <v>159</v>
      </c>
      <c r="G2" s="117" t="s">
        <v>160</v>
      </c>
      <c r="I2" s="114" t="s">
        <v>11</v>
      </c>
      <c r="J2" s="249">
        <f>'CR Path Generator'!I61</f>
        <v>5.8545710581568947E-2</v>
      </c>
      <c r="K2" s="249">
        <f>'CR Path Generator'!D35</f>
        <v>0.16459752684908685</v>
      </c>
    </row>
    <row r="3" spans="1:27" x14ac:dyDescent="0.25">
      <c r="C3" s="115" t="s">
        <v>161</v>
      </c>
      <c r="D3" s="115"/>
      <c r="I3" s="114" t="s">
        <v>12</v>
      </c>
      <c r="J3" s="249">
        <f>'CR Path Generator'!I67</f>
        <v>5.9492494838270175E-2</v>
      </c>
      <c r="K3" s="249">
        <f>'CR Path Generator'!E35</f>
        <v>0.16459752684908685</v>
      </c>
    </row>
    <row r="4" spans="1:27" x14ac:dyDescent="0.25">
      <c r="C4" s="115" t="s">
        <v>162</v>
      </c>
      <c r="D4" s="115"/>
      <c r="I4" s="114" t="s">
        <v>13</v>
      </c>
      <c r="J4" s="249">
        <f>'CR Path Generator'!I73</f>
        <v>5.9794672540119928E-2</v>
      </c>
      <c r="K4" s="249">
        <f>'CR Path Generator'!F35</f>
        <v>0.16459752684908685</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base S12'!J2</f>
        <v>5.8545710581568947E-2</v>
      </c>
      <c r="I10" s="150">
        <f>'Processor LT base S12'!K2</f>
        <v>0.16459752684908685</v>
      </c>
      <c r="J10" s="150">
        <f>I10*E10/100</f>
        <v>0.16459752684908685</v>
      </c>
      <c r="K10" s="150"/>
      <c r="L10" s="150"/>
      <c r="M10" s="151">
        <v>1</v>
      </c>
      <c r="N10" s="152"/>
      <c r="O10" s="152"/>
      <c r="P10" s="152">
        <f>H10*J10*M10</f>
        <v>9.6364791693486634E-3</v>
      </c>
      <c r="Q10" s="152"/>
      <c r="R10" s="152"/>
      <c r="S10" s="153">
        <f>P10*$E10</f>
        <v>0.9636479169348664</v>
      </c>
      <c r="T10" s="144"/>
      <c r="U10" s="144"/>
      <c r="W10" s="154">
        <f t="shared" ref="W10:W61" si="0">1-H10</f>
        <v>0.94145428941843101</v>
      </c>
    </row>
    <row r="11" spans="1:27" x14ac:dyDescent="0.25">
      <c r="C11" s="438"/>
      <c r="D11" s="147" t="s">
        <v>12</v>
      </c>
      <c r="E11" s="148">
        <f>IF($D$2&gt;1,100,0)</f>
        <v>100</v>
      </c>
      <c r="F11" s="148">
        <v>100</v>
      </c>
      <c r="G11" s="148">
        <v>100</v>
      </c>
      <c r="H11" s="149">
        <f>'Processor LT base S12'!J3</f>
        <v>5.9492494838270175E-2</v>
      </c>
      <c r="I11" s="150">
        <f>'Processor LT base S12'!K3</f>
        <v>0.16459752684908685</v>
      </c>
      <c r="J11" s="150">
        <f>I11*E11/100</f>
        <v>0.16459752684908685</v>
      </c>
      <c r="K11" s="150">
        <f>I11*F11/100</f>
        <v>0.16459752684908685</v>
      </c>
      <c r="L11" s="150"/>
      <c r="M11" s="360">
        <f>M10*W10</f>
        <v>0.94145428941843101</v>
      </c>
      <c r="N11" s="151">
        <v>1</v>
      </c>
      <c r="O11" s="155"/>
      <c r="P11" s="152">
        <f t="shared" ref="P11:P61" si="1">H11*J11*M11</f>
        <v>9.219019329219761E-3</v>
      </c>
      <c r="Q11" s="152">
        <f>N11*K11*H11</f>
        <v>9.7923175164613355E-3</v>
      </c>
      <c r="R11" s="152"/>
      <c r="S11" s="156">
        <f>P11*$E11</f>
        <v>0.92190193292197609</v>
      </c>
      <c r="T11" s="153">
        <f t="shared" ref="T11:T61" si="2">Q11*$F11</f>
        <v>0.97923175164613352</v>
      </c>
      <c r="U11" s="144"/>
      <c r="W11" s="154">
        <f t="shared" si="0"/>
        <v>0.94050750516172987</v>
      </c>
    </row>
    <row r="12" spans="1:27" x14ac:dyDescent="0.25">
      <c r="C12" s="426"/>
      <c r="D12" s="157" t="s">
        <v>13</v>
      </c>
      <c r="E12" s="158">
        <f>IF($D$2&gt;2,100,0)</f>
        <v>100</v>
      </c>
      <c r="F12" s="140">
        <f>IF($D$2&gt;1,100,0)</f>
        <v>100</v>
      </c>
      <c r="G12" s="159">
        <v>100</v>
      </c>
      <c r="H12" s="160">
        <f>'Processor LT base S12'!J4</f>
        <v>5.9794672540119928E-2</v>
      </c>
      <c r="I12" s="161">
        <f>'Processor LT base S12'!K4</f>
        <v>0.16459752684908685</v>
      </c>
      <c r="J12" s="161">
        <f>I12*E12/100</f>
        <v>0.16459752684908685</v>
      </c>
      <c r="K12" s="161">
        <f>I12*F12/100</f>
        <v>0.16459752684908685</v>
      </c>
      <c r="L12" s="161">
        <f>I12*G12/100</f>
        <v>0.16459752684908685</v>
      </c>
      <c r="M12" s="142">
        <f t="shared" ref="M12:M61" si="3">M11*W11</f>
        <v>0.88544482496473775</v>
      </c>
      <c r="N12" s="142">
        <f>N11*W11</f>
        <v>0.94050750516172987</v>
      </c>
      <c r="O12" s="162">
        <v>1</v>
      </c>
      <c r="P12" s="142">
        <f t="shared" si="1"/>
        <v>8.7145968605521242E-3</v>
      </c>
      <c r="Q12" s="142">
        <f t="shared" ref="Q12:Q61" si="4">N12*K12*H12</f>
        <v>9.2565267995490599E-3</v>
      </c>
      <c r="R12" s="142">
        <f>H12*L12*O12</f>
        <v>9.8420552188547457E-3</v>
      </c>
      <c r="S12" s="156">
        <f>P12*$E12</f>
        <v>0.8714596860552124</v>
      </c>
      <c r="T12" s="156">
        <f t="shared" si="2"/>
        <v>0.92565267995490597</v>
      </c>
      <c r="U12" s="153">
        <f t="shared" ref="U12:U22" si="5">R12*$G12</f>
        <v>0.98420552188547461</v>
      </c>
      <c r="W12" s="154">
        <f t="shared" si="0"/>
        <v>0.94020532745988006</v>
      </c>
    </row>
    <row r="13" spans="1:27" x14ac:dyDescent="0.25">
      <c r="A13" s="163"/>
      <c r="C13" s="439" t="s">
        <v>179</v>
      </c>
      <c r="D13" s="147" t="s">
        <v>180</v>
      </c>
      <c r="E13" s="148">
        <f>IF($D$2&gt;3,100,0)</f>
        <v>100</v>
      </c>
      <c r="F13" s="148">
        <f>IF($D$2&gt;2,100,0)</f>
        <v>100</v>
      </c>
      <c r="G13" s="148">
        <f>IF($D$2&gt;1,100,0)</f>
        <v>100</v>
      </c>
      <c r="H13" s="147">
        <f>H12</f>
        <v>5.9794672540119928E-2</v>
      </c>
      <c r="I13" s="147">
        <f>I12</f>
        <v>0.16459752684908685</v>
      </c>
      <c r="J13" s="164">
        <f>I13*E13/100</f>
        <v>0.16459752684908685</v>
      </c>
      <c r="K13" s="164">
        <f>I13*F13/100</f>
        <v>0.16459752684908685</v>
      </c>
      <c r="L13" s="164">
        <f>I13*G13/100</f>
        <v>0.16459752684908685</v>
      </c>
      <c r="M13" s="164">
        <f t="shared" si="3"/>
        <v>0.83249994160362739</v>
      </c>
      <c r="N13" s="164">
        <f t="shared" ref="N13:N61" si="6">N12*W12</f>
        <v>0.88427016686905902</v>
      </c>
      <c r="O13" s="164">
        <f>O12*W12</f>
        <v>0.94020532745988006</v>
      </c>
      <c r="P13" s="164">
        <f t="shared" si="1"/>
        <v>8.1935103949562528E-3</v>
      </c>
      <c r="Q13" s="164">
        <f t="shared" si="4"/>
        <v>8.7030358107111801E-3</v>
      </c>
      <c r="R13" s="164">
        <f t="shared" ref="R13:R61" si="7">H13*L13*O13</f>
        <v>9.2535527499215484E-3</v>
      </c>
      <c r="S13" s="156">
        <f>P13*$E13</f>
        <v>0.81935103949562527</v>
      </c>
      <c r="T13" s="156">
        <f t="shared" si="2"/>
        <v>0.87030358107111805</v>
      </c>
      <c r="U13" s="165">
        <f t="shared" si="5"/>
        <v>0.92535527499215486</v>
      </c>
      <c r="W13" s="154">
        <f t="shared" si="0"/>
        <v>0.94020532745988006</v>
      </c>
    </row>
    <row r="14" spans="1:27" x14ac:dyDescent="0.25">
      <c r="A14" s="163"/>
      <c r="B14" s="163"/>
      <c r="C14" s="440"/>
      <c r="D14" s="147" t="s">
        <v>181</v>
      </c>
      <c r="E14" s="166">
        <f>IF(E13&gt;0.1,-100/($D$2-3)+E13,0)</f>
        <v>96.296296296296291</v>
      </c>
      <c r="F14" s="167">
        <f>IF(F13&gt;0.1,-100/($D$2-2)+F13,0)</f>
        <v>96.428571428571431</v>
      </c>
      <c r="G14" s="168">
        <f>IF(G13&gt;0.1,-100/($D$2-1)+G13,0)</f>
        <v>96.551724137931032</v>
      </c>
      <c r="H14" s="147">
        <f t="shared" ref="H14:I29" si="8">H13</f>
        <v>5.9794672540119928E-2</v>
      </c>
      <c r="I14" s="164">
        <f t="shared" si="8"/>
        <v>0.16459752684908685</v>
      </c>
      <c r="J14" s="164">
        <f t="shared" ref="J14:J61" si="9">I14*E14/100</f>
        <v>0.15850132215097251</v>
      </c>
      <c r="K14" s="164">
        <f t="shared" ref="K14:K61" si="10">I14*F14/100</f>
        <v>0.15871904374733375</v>
      </c>
      <c r="L14" s="164">
        <f t="shared" ref="L14:L61" si="11">I14*G14/100</f>
        <v>0.15892175006118731</v>
      </c>
      <c r="M14" s="164">
        <f t="shared" si="3"/>
        <v>0.78272088020576946</v>
      </c>
      <c r="N14" s="164">
        <f t="shared" si="6"/>
        <v>0.83139552180412646</v>
      </c>
      <c r="O14" s="164">
        <f t="shared" ref="O14:O61" si="12">O13*W13</f>
        <v>0.88398605778394024</v>
      </c>
      <c r="P14" s="164">
        <f t="shared" si="1"/>
        <v>7.4182642674937068E-3</v>
      </c>
      <c r="Q14" s="164">
        <f t="shared" si="4"/>
        <v>7.8904034687938829E-3</v>
      </c>
      <c r="R14" s="164">
        <f t="shared" si="7"/>
        <v>8.4002313315656319E-3</v>
      </c>
      <c r="S14" s="156">
        <f t="shared" ref="S14:S61" si="13">P14*$E14</f>
        <v>0.71435137390680137</v>
      </c>
      <c r="T14" s="156">
        <f t="shared" si="2"/>
        <v>0.76086033449083867</v>
      </c>
      <c r="U14" s="165">
        <f t="shared" si="5"/>
        <v>0.81105681822012998</v>
      </c>
      <c r="W14" s="154">
        <f t="shared" si="0"/>
        <v>0.94020532745988006</v>
      </c>
    </row>
    <row r="15" spans="1:27" x14ac:dyDescent="0.25">
      <c r="A15" s="163"/>
      <c r="B15" s="163"/>
      <c r="C15" s="440"/>
      <c r="D15" s="147" t="s">
        <v>182</v>
      </c>
      <c r="E15" s="166">
        <f t="shared" ref="E15:E61" si="14">IF(E14&gt;0.1,-100/($D$2-3)+E14,0)</f>
        <v>92.592592592592581</v>
      </c>
      <c r="F15" s="167">
        <f t="shared" ref="F15:F61" si="15">IF(F14&gt;0.1,-100/($D$2-2)+F14,0)</f>
        <v>92.857142857142861</v>
      </c>
      <c r="G15" s="168">
        <f t="shared" ref="G15:G61" si="16">IF(G14&gt;0.1,-100/($D$2-1)+G14,0)</f>
        <v>93.103448275862064</v>
      </c>
      <c r="H15" s="147">
        <f t="shared" si="8"/>
        <v>5.9794672540119928E-2</v>
      </c>
      <c r="I15" s="164">
        <f t="shared" si="8"/>
        <v>0.16459752684908685</v>
      </c>
      <c r="J15" s="164">
        <f t="shared" si="9"/>
        <v>0.15240511745285817</v>
      </c>
      <c r="K15" s="164">
        <f t="shared" si="10"/>
        <v>0.15284056064558066</v>
      </c>
      <c r="L15" s="164">
        <f t="shared" si="11"/>
        <v>0.15324597327328773</v>
      </c>
      <c r="M15" s="164">
        <f t="shared" si="3"/>
        <v>0.73591834148355106</v>
      </c>
      <c r="N15" s="164">
        <f t="shared" si="6"/>
        <v>0.78168249882652652</v>
      </c>
      <c r="O15" s="164">
        <f t="shared" si="12"/>
        <v>0.83112840092871798</v>
      </c>
      <c r="P15" s="164">
        <f t="shared" si="1"/>
        <v>6.7064342161565855E-3</v>
      </c>
      <c r="Q15" s="164">
        <f t="shared" si="4"/>
        <v>7.1438364372728184E-3</v>
      </c>
      <c r="R15" s="164">
        <f t="shared" si="7"/>
        <v>7.6158728837679296E-3</v>
      </c>
      <c r="S15" s="156">
        <f t="shared" si="13"/>
        <v>0.62096613112560972</v>
      </c>
      <c r="T15" s="156">
        <f t="shared" si="2"/>
        <v>0.66335624060390463</v>
      </c>
      <c r="U15" s="165">
        <f t="shared" si="5"/>
        <v>0.70906402710942784</v>
      </c>
      <c r="W15" s="154">
        <f t="shared" si="0"/>
        <v>0.94020532745988006</v>
      </c>
    </row>
    <row r="16" spans="1:27" x14ac:dyDescent="0.25">
      <c r="A16" s="163"/>
      <c r="B16" s="163"/>
      <c r="C16" s="440"/>
      <c r="D16" s="147" t="s">
        <v>183</v>
      </c>
      <c r="E16" s="166">
        <f t="shared" si="14"/>
        <v>88.888888888888872</v>
      </c>
      <c r="F16" s="167">
        <f t="shared" si="15"/>
        <v>89.285714285714292</v>
      </c>
      <c r="G16" s="168">
        <f t="shared" si="16"/>
        <v>89.655172413793096</v>
      </c>
      <c r="H16" s="147">
        <f t="shared" si="8"/>
        <v>5.9794672540119928E-2</v>
      </c>
      <c r="I16" s="164">
        <f t="shared" si="8"/>
        <v>0.16459752684908685</v>
      </c>
      <c r="J16" s="164">
        <f t="shared" si="9"/>
        <v>0.14630891275474384</v>
      </c>
      <c r="K16" s="164">
        <f t="shared" si="10"/>
        <v>0.14696207754382754</v>
      </c>
      <c r="L16" s="164">
        <f t="shared" si="11"/>
        <v>0.14757019648538822</v>
      </c>
      <c r="M16" s="164">
        <f t="shared" si="3"/>
        <v>0.691914345238274</v>
      </c>
      <c r="N16" s="164">
        <f t="shared" si="6"/>
        <v>0.73494204977885169</v>
      </c>
      <c r="O16" s="164">
        <f t="shared" si="12"/>
        <v>0.78143135035639177</v>
      </c>
      <c r="P16" s="164">
        <f t="shared" si="1"/>
        <v>6.05320817115806E-3</v>
      </c>
      <c r="Q16" s="164">
        <f t="shared" si="4"/>
        <v>6.4583394969479927E-3</v>
      </c>
      <c r="R16" s="164">
        <f t="shared" si="7"/>
        <v>6.8952811378878544E-3</v>
      </c>
      <c r="S16" s="156">
        <f t="shared" si="13"/>
        <v>0.53806294854738301</v>
      </c>
      <c r="T16" s="156">
        <f t="shared" si="2"/>
        <v>0.57663745508464226</v>
      </c>
      <c r="U16" s="165">
        <f t="shared" si="5"/>
        <v>0.61819761925891104</v>
      </c>
      <c r="W16" s="154">
        <f t="shared" si="0"/>
        <v>0.94020532745988006</v>
      </c>
    </row>
    <row r="17" spans="1:27" x14ac:dyDescent="0.25">
      <c r="A17" s="163"/>
      <c r="B17" s="163"/>
      <c r="C17" s="440"/>
      <c r="D17" s="147" t="s">
        <v>184</v>
      </c>
      <c r="E17" s="166">
        <f t="shared" si="14"/>
        <v>85.185185185185162</v>
      </c>
      <c r="F17" s="167">
        <f t="shared" si="15"/>
        <v>85.714285714285722</v>
      </c>
      <c r="G17" s="168">
        <f t="shared" si="16"/>
        <v>86.206896551724128</v>
      </c>
      <c r="H17" s="147">
        <f t="shared" si="8"/>
        <v>5.9794672540119928E-2</v>
      </c>
      <c r="I17" s="164">
        <f t="shared" si="8"/>
        <v>0.16459752684908685</v>
      </c>
      <c r="J17" s="164">
        <f t="shared" si="9"/>
        <v>0.1402127080566295</v>
      </c>
      <c r="K17" s="164">
        <f t="shared" si="10"/>
        <v>0.14108359444207447</v>
      </c>
      <c r="L17" s="164">
        <f t="shared" si="11"/>
        <v>0.14189441969748864</v>
      </c>
      <c r="M17" s="164">
        <f t="shared" si="3"/>
        <v>0.65054155353893994</v>
      </c>
      <c r="N17" s="164">
        <f t="shared" si="6"/>
        <v>0.69099643057636073</v>
      </c>
      <c r="O17" s="164">
        <f t="shared" si="12"/>
        <v>0.73470591864924761</v>
      </c>
      <c r="P17" s="164">
        <f t="shared" si="1"/>
        <v>5.4541227969653822E-3</v>
      </c>
      <c r="Q17" s="164">
        <f t="shared" si="4"/>
        <v>5.8292785935120635E-3</v>
      </c>
      <c r="R17" s="164">
        <f t="shared" si="7"/>
        <v>6.233634673245946E-3</v>
      </c>
      <c r="S17" s="156">
        <f t="shared" si="13"/>
        <v>0.46461046048223614</v>
      </c>
      <c r="T17" s="156">
        <f t="shared" si="2"/>
        <v>0.49965245087246263</v>
      </c>
      <c r="U17" s="165">
        <f t="shared" si="5"/>
        <v>0.53738229941775395</v>
      </c>
      <c r="W17" s="154">
        <f t="shared" si="0"/>
        <v>0.94020532745988006</v>
      </c>
    </row>
    <row r="18" spans="1:27" x14ac:dyDescent="0.25">
      <c r="A18" s="163"/>
      <c r="B18" s="163"/>
      <c r="C18" s="428"/>
      <c r="D18" s="157" t="s">
        <v>185</v>
      </c>
      <c r="E18" s="169">
        <f t="shared" si="14"/>
        <v>81.481481481481453</v>
      </c>
      <c r="F18" s="170">
        <f t="shared" si="15"/>
        <v>82.142857142857153</v>
      </c>
      <c r="G18" s="171">
        <f t="shared" si="16"/>
        <v>82.75862068965516</v>
      </c>
      <c r="H18" s="157">
        <f t="shared" si="8"/>
        <v>5.9794672540119928E-2</v>
      </c>
      <c r="I18" s="172">
        <f t="shared" si="8"/>
        <v>0.16459752684908685</v>
      </c>
      <c r="J18" s="157">
        <f t="shared" si="9"/>
        <v>0.13411650335851516</v>
      </c>
      <c r="K18" s="172">
        <f t="shared" si="10"/>
        <v>0.13520511134032134</v>
      </c>
      <c r="L18" s="172">
        <f t="shared" si="11"/>
        <v>0.1362186429095891</v>
      </c>
      <c r="M18" s="172">
        <f t="shared" si="3"/>
        <v>0.61164263437133815</v>
      </c>
      <c r="N18" s="172">
        <f t="shared" si="6"/>
        <v>0.64967852528365555</v>
      </c>
      <c r="O18" s="172">
        <f t="shared" si="12"/>
        <v>0.69077441883032786</v>
      </c>
      <c r="P18" s="172">
        <f t="shared" si="1"/>
        <v>4.9050389924869186E-3</v>
      </c>
      <c r="Q18" s="172">
        <f t="shared" si="4"/>
        <v>5.2523555059983823E-3</v>
      </c>
      <c r="R18" s="172">
        <f t="shared" si="7"/>
        <v>5.6264606680554875E-3</v>
      </c>
      <c r="S18" s="173">
        <f t="shared" si="13"/>
        <v>0.39966984383226728</v>
      </c>
      <c r="T18" s="173">
        <f t="shared" si="2"/>
        <v>0.43144348799272431</v>
      </c>
      <c r="U18" s="174">
        <f t="shared" si="5"/>
        <v>0.46563812425286788</v>
      </c>
      <c r="W18" s="154">
        <f t="shared" si="0"/>
        <v>0.94020532745988006</v>
      </c>
    </row>
    <row r="19" spans="1:27" x14ac:dyDescent="0.25">
      <c r="A19" s="163"/>
      <c r="B19" s="163"/>
      <c r="C19" s="437" t="s">
        <v>186</v>
      </c>
      <c r="D19" s="147" t="s">
        <v>187</v>
      </c>
      <c r="E19" s="166">
        <f t="shared" si="14"/>
        <v>77.777777777777743</v>
      </c>
      <c r="F19" s="167">
        <f t="shared" si="15"/>
        <v>78.571428571428584</v>
      </c>
      <c r="G19" s="168">
        <f t="shared" si="16"/>
        <v>79.310344827586192</v>
      </c>
      <c r="H19" s="175">
        <f t="shared" si="8"/>
        <v>5.9794672540119928E-2</v>
      </c>
      <c r="I19" s="176">
        <f t="shared" si="8"/>
        <v>0.16459752684908685</v>
      </c>
      <c r="J19" s="164">
        <f t="shared" si="9"/>
        <v>0.12802029866040082</v>
      </c>
      <c r="K19" s="177">
        <f t="shared" si="10"/>
        <v>0.12932662823856825</v>
      </c>
      <c r="L19" s="177">
        <f t="shared" si="11"/>
        <v>0.13054286612168955</v>
      </c>
      <c r="M19" s="178">
        <f t="shared" si="3"/>
        <v>0.57506966333752763</v>
      </c>
      <c r="N19" s="178">
        <f t="shared" si="6"/>
        <v>0.6108312106079713</v>
      </c>
      <c r="O19" s="178">
        <f t="shared" si="12"/>
        <v>0.64946978865727678</v>
      </c>
      <c r="P19" s="178">
        <f t="shared" si="1"/>
        <v>4.4021190743103412E-3</v>
      </c>
      <c r="Q19" s="178">
        <f t="shared" si="4"/>
        <v>4.7235842533027862E-3</v>
      </c>
      <c r="R19" s="178">
        <f t="shared" si="7"/>
        <v>5.0696104492305273E-3</v>
      </c>
      <c r="S19" s="156">
        <f t="shared" si="13"/>
        <v>0.34238703911302637</v>
      </c>
      <c r="T19" s="156">
        <f t="shared" si="2"/>
        <v>0.37113876275950469</v>
      </c>
      <c r="U19" s="165">
        <f t="shared" si="5"/>
        <v>0.40207255287000726</v>
      </c>
      <c r="W19" s="154">
        <f t="shared" si="0"/>
        <v>0.94020532745988006</v>
      </c>
    </row>
    <row r="20" spans="1:27" x14ac:dyDescent="0.25">
      <c r="A20" s="163"/>
      <c r="B20" s="163"/>
      <c r="C20" s="438"/>
      <c r="D20" s="147" t="s">
        <v>188</v>
      </c>
      <c r="E20" s="166">
        <f t="shared" si="14"/>
        <v>74.074074074074034</v>
      </c>
      <c r="F20" s="167">
        <f t="shared" si="15"/>
        <v>75.000000000000014</v>
      </c>
      <c r="G20" s="168">
        <f t="shared" si="16"/>
        <v>75.862068965517224</v>
      </c>
      <c r="H20" s="147">
        <f t="shared" si="8"/>
        <v>5.9794672540119928E-2</v>
      </c>
      <c r="I20" s="164">
        <f t="shared" si="8"/>
        <v>0.16459752684908685</v>
      </c>
      <c r="J20" s="164">
        <f t="shared" si="9"/>
        <v>0.1219240939622865</v>
      </c>
      <c r="K20" s="164">
        <f t="shared" si="10"/>
        <v>0.12344814513681517</v>
      </c>
      <c r="L20" s="164">
        <f t="shared" si="11"/>
        <v>0.12486708933379</v>
      </c>
      <c r="M20" s="164">
        <f t="shared" si="3"/>
        <v>0.54068356113050309</v>
      </c>
      <c r="N20" s="164">
        <f t="shared" si="6"/>
        <v>0.57430675839238265</v>
      </c>
      <c r="O20" s="164">
        <f t="shared" si="12"/>
        <v>0.61063495531981404</v>
      </c>
      <c r="P20" s="164">
        <f t="shared" si="1"/>
        <v>3.941805529313655E-3</v>
      </c>
      <c r="Q20" s="164">
        <f t="shared" si="4"/>
        <v>4.2392691214944772E-3</v>
      </c>
      <c r="R20" s="164">
        <f t="shared" si="7"/>
        <v>4.559236719794869E-3</v>
      </c>
      <c r="S20" s="156">
        <f t="shared" si="13"/>
        <v>0.29198559476397429</v>
      </c>
      <c r="T20" s="156">
        <f t="shared" si="2"/>
        <v>0.31794518411208583</v>
      </c>
      <c r="U20" s="165">
        <f t="shared" si="5"/>
        <v>0.34587313046719687</v>
      </c>
      <c r="W20" s="154">
        <f t="shared" si="0"/>
        <v>0.94020532745988006</v>
      </c>
    </row>
    <row r="21" spans="1:27" x14ac:dyDescent="0.25">
      <c r="A21" s="163"/>
      <c r="B21" s="163"/>
      <c r="C21" s="438"/>
      <c r="D21" s="147" t="s">
        <v>189</v>
      </c>
      <c r="E21" s="166">
        <f t="shared" si="14"/>
        <v>70.370370370370324</v>
      </c>
      <c r="F21" s="167">
        <f t="shared" si="15"/>
        <v>71.428571428571445</v>
      </c>
      <c r="G21" s="168">
        <f t="shared" si="16"/>
        <v>72.413793103448256</v>
      </c>
      <c r="H21" s="147">
        <f t="shared" si="8"/>
        <v>5.9794672540119928E-2</v>
      </c>
      <c r="I21" s="164">
        <f t="shared" si="8"/>
        <v>0.16459752684908685</v>
      </c>
      <c r="J21" s="164">
        <f t="shared" si="9"/>
        <v>0.11582788926417216</v>
      </c>
      <c r="K21" s="164">
        <f t="shared" si="10"/>
        <v>0.11756966203506206</v>
      </c>
      <c r="L21" s="164">
        <f t="shared" si="11"/>
        <v>0.11919131254589045</v>
      </c>
      <c r="M21" s="164">
        <f t="shared" si="3"/>
        <v>0.50835356464487869</v>
      </c>
      <c r="N21" s="164">
        <f t="shared" si="6"/>
        <v>0.53996627383673235</v>
      </c>
      <c r="O21" s="164">
        <f t="shared" si="12"/>
        <v>0.57412223812491503</v>
      </c>
      <c r="P21" s="147">
        <f t="shared" si="1"/>
        <v>3.5208012305479345E-3</v>
      </c>
      <c r="Q21" s="164">
        <f t="shared" si="4"/>
        <v>3.7959842024431162E-3</v>
      </c>
      <c r="R21" s="164">
        <f t="shared" si="7"/>
        <v>4.0917723506881248E-3</v>
      </c>
      <c r="S21" s="156">
        <f t="shared" si="13"/>
        <v>0.24776008659411375</v>
      </c>
      <c r="T21" s="156">
        <f t="shared" si="2"/>
        <v>0.27114172874593695</v>
      </c>
      <c r="U21" s="165">
        <f t="shared" si="5"/>
        <v>0.29630075642914</v>
      </c>
      <c r="V21" s="114"/>
      <c r="W21" s="154">
        <f t="shared" si="0"/>
        <v>0.94020532745988006</v>
      </c>
      <c r="Z21" s="179"/>
      <c r="AA21" s="179"/>
    </row>
    <row r="22" spans="1:27" x14ac:dyDescent="0.25">
      <c r="A22" s="163"/>
      <c r="B22" s="163"/>
      <c r="C22" s="438"/>
      <c r="D22" s="147" t="s">
        <v>190</v>
      </c>
      <c r="E22" s="166">
        <f t="shared" si="14"/>
        <v>66.666666666666615</v>
      </c>
      <c r="F22" s="167">
        <f t="shared" si="15"/>
        <v>67.857142857142875</v>
      </c>
      <c r="G22" s="168">
        <f t="shared" si="16"/>
        <v>68.965517241379288</v>
      </c>
      <c r="H22" s="147">
        <f t="shared" si="8"/>
        <v>5.9794672540119928E-2</v>
      </c>
      <c r="I22" s="164">
        <f t="shared" si="8"/>
        <v>0.16459752684908685</v>
      </c>
      <c r="J22" s="164">
        <f t="shared" si="9"/>
        <v>0.10973168456605782</v>
      </c>
      <c r="K22" s="147">
        <f t="shared" si="10"/>
        <v>0.11169117893330897</v>
      </c>
      <c r="L22" s="164">
        <f t="shared" si="11"/>
        <v>0.11351553575799089</v>
      </c>
      <c r="M22" s="164">
        <f t="shared" si="3"/>
        <v>0.47795672971233549</v>
      </c>
      <c r="N22" s="164">
        <f t="shared" si="6"/>
        <v>0.50767916730995621</v>
      </c>
      <c r="O22" s="164">
        <f t="shared" si="12"/>
        <v>0.53979278689823496</v>
      </c>
      <c r="P22" s="147">
        <f t="shared" si="1"/>
        <v>3.1360510173680236E-3</v>
      </c>
      <c r="Q22" s="147">
        <f t="shared" si="4"/>
        <v>3.3905543415860351E-3</v>
      </c>
      <c r="R22" s="164">
        <f t="shared" si="7"/>
        <v>3.6639106313047717E-3</v>
      </c>
      <c r="S22" s="156">
        <f t="shared" si="13"/>
        <v>0.20907006782453474</v>
      </c>
      <c r="T22" s="156">
        <f t="shared" si="2"/>
        <v>0.23007333032190957</v>
      </c>
      <c r="U22" s="165">
        <f t="shared" si="5"/>
        <v>0.25268349181412209</v>
      </c>
      <c r="V22" s="114"/>
      <c r="W22" s="154">
        <f t="shared" si="0"/>
        <v>0.94020532745988006</v>
      </c>
      <c r="Z22" s="179"/>
      <c r="AA22" s="179"/>
    </row>
    <row r="23" spans="1:27" x14ac:dyDescent="0.25">
      <c r="A23" s="163"/>
      <c r="B23" s="163"/>
      <c r="C23" s="438"/>
      <c r="D23" s="147" t="s">
        <v>191</v>
      </c>
      <c r="E23" s="166">
        <f t="shared" si="14"/>
        <v>62.962962962962912</v>
      </c>
      <c r="F23" s="167">
        <f t="shared" si="15"/>
        <v>64.285714285714306</v>
      </c>
      <c r="G23" s="168">
        <f t="shared" si="16"/>
        <v>65.51724137931032</v>
      </c>
      <c r="H23" s="147">
        <f t="shared" si="8"/>
        <v>5.9794672540119928E-2</v>
      </c>
      <c r="I23" s="164">
        <f t="shared" si="8"/>
        <v>0.16459752684908685</v>
      </c>
      <c r="J23" s="164">
        <f t="shared" si="9"/>
        <v>0.10363547986794348</v>
      </c>
      <c r="K23" s="147">
        <f t="shared" si="10"/>
        <v>0.10581269583155586</v>
      </c>
      <c r="L23" s="147">
        <f t="shared" si="11"/>
        <v>0.10783975897009135</v>
      </c>
      <c r="M23" s="147">
        <f t="shared" si="3"/>
        <v>0.4493774635708398</v>
      </c>
      <c r="N23" s="147">
        <f t="shared" si="6"/>
        <v>0.47732265774521659</v>
      </c>
      <c r="O23" s="164">
        <f t="shared" si="12"/>
        <v>0.5075160539661363</v>
      </c>
      <c r="P23" s="147">
        <f t="shared" si="1"/>
        <v>2.7847245473978707E-3</v>
      </c>
      <c r="Q23" s="147">
        <f t="shared" si="4"/>
        <v>3.0200373994750253E-3</v>
      </c>
      <c r="R23" s="147">
        <f t="shared" si="7"/>
        <v>3.2725868801451573E-3</v>
      </c>
      <c r="S23" s="156">
        <f t="shared" si="13"/>
        <v>0.17533450853986579</v>
      </c>
      <c r="T23" s="156">
        <f t="shared" si="2"/>
        <v>0.1941452613948231</v>
      </c>
      <c r="U23" s="165">
        <f>R23*$G23</f>
        <v>0.21441086456123437</v>
      </c>
      <c r="V23" s="114"/>
      <c r="W23" s="154">
        <f t="shared" si="0"/>
        <v>0.94020532745988006</v>
      </c>
      <c r="Z23" s="179"/>
      <c r="AA23" s="179"/>
    </row>
    <row r="24" spans="1:27" x14ac:dyDescent="0.25">
      <c r="A24" s="163"/>
      <c r="B24" s="163"/>
      <c r="C24" s="438"/>
      <c r="D24" s="147" t="s">
        <v>192</v>
      </c>
      <c r="E24" s="166">
        <f t="shared" si="14"/>
        <v>59.25925925925921</v>
      </c>
      <c r="F24" s="167">
        <f t="shared" si="15"/>
        <v>60.714285714285737</v>
      </c>
      <c r="G24" s="168">
        <f t="shared" si="16"/>
        <v>62.068965517241352</v>
      </c>
      <c r="H24" s="147">
        <f t="shared" si="8"/>
        <v>5.9794672540119928E-2</v>
      </c>
      <c r="I24" s="164">
        <f t="shared" si="8"/>
        <v>0.16459752684908685</v>
      </c>
      <c r="J24" s="164">
        <f t="shared" si="9"/>
        <v>9.7539275169829159E-2</v>
      </c>
      <c r="K24" s="147">
        <f t="shared" si="10"/>
        <v>9.9934212729802768E-2</v>
      </c>
      <c r="L24" s="147">
        <f t="shared" si="11"/>
        <v>0.10216398218219179</v>
      </c>
      <c r="M24" s="147">
        <f t="shared" si="3"/>
        <v>0.42250708528971176</v>
      </c>
      <c r="N24" s="147">
        <f t="shared" si="6"/>
        <v>0.44878130572936165</v>
      </c>
      <c r="O24" s="164">
        <f t="shared" si="12"/>
        <v>0.47716929771037736</v>
      </c>
      <c r="P24" s="147">
        <f t="shared" si="1"/>
        <v>2.4642003340910879E-3</v>
      </c>
      <c r="Q24" s="147">
        <f t="shared" si="4"/>
        <v>2.6817077381081399E-3</v>
      </c>
      <c r="R24" s="147">
        <f t="shared" si="7"/>
        <v>2.914961323535796E-3</v>
      </c>
      <c r="S24" s="156">
        <f t="shared" si="13"/>
        <v>0.14602668646465694</v>
      </c>
      <c r="T24" s="156">
        <f t="shared" si="2"/>
        <v>0.16281796981370855</v>
      </c>
      <c r="U24" s="165">
        <f t="shared" ref="U24:U61" si="17">R24*$G24</f>
        <v>0.18092863387463554</v>
      </c>
      <c r="V24" s="114"/>
      <c r="W24" s="154">
        <f t="shared" si="0"/>
        <v>0.94020532745988006</v>
      </c>
      <c r="X24" s="180"/>
      <c r="Z24" s="131"/>
      <c r="AA24" s="131"/>
    </row>
    <row r="25" spans="1:27" x14ac:dyDescent="0.25">
      <c r="A25" s="163"/>
      <c r="B25" s="163"/>
      <c r="C25" s="438"/>
      <c r="D25" s="147" t="s">
        <v>193</v>
      </c>
      <c r="E25" s="166">
        <f t="shared" si="14"/>
        <v>55.555555555555507</v>
      </c>
      <c r="F25" s="167">
        <f t="shared" si="15"/>
        <v>57.142857142857167</v>
      </c>
      <c r="G25" s="168">
        <f t="shared" si="16"/>
        <v>58.620689655172384</v>
      </c>
      <c r="H25" s="147">
        <f t="shared" si="8"/>
        <v>5.9794672540119928E-2</v>
      </c>
      <c r="I25" s="164">
        <f t="shared" si="8"/>
        <v>0.16459752684908685</v>
      </c>
      <c r="J25" s="164">
        <f t="shared" si="9"/>
        <v>9.1443070471714835E-2</v>
      </c>
      <c r="K25" s="147">
        <f t="shared" si="10"/>
        <v>9.4055729628049672E-2</v>
      </c>
      <c r="L25" s="147">
        <f t="shared" si="11"/>
        <v>9.6488205394292231E-2</v>
      </c>
      <c r="M25" s="147">
        <f t="shared" si="3"/>
        <v>0.39724341247893291</v>
      </c>
      <c r="N25" s="147">
        <f t="shared" si="6"/>
        <v>0.42194657451114703</v>
      </c>
      <c r="O25" s="164">
        <f t="shared" si="12"/>
        <v>0.44863711580758636</v>
      </c>
      <c r="P25" s="147">
        <f t="shared" si="1"/>
        <v>2.1720508894133039E-3</v>
      </c>
      <c r="Q25" s="147">
        <f t="shared" si="4"/>
        <v>2.3730408489973254E-3</v>
      </c>
      <c r="R25" s="147">
        <f t="shared" si="7"/>
        <v>2.5884031565207547E-3</v>
      </c>
      <c r="S25" s="156">
        <f t="shared" si="13"/>
        <v>0.12066949385629455</v>
      </c>
      <c r="T25" s="156">
        <f t="shared" si="2"/>
        <v>0.13560233422841866</v>
      </c>
      <c r="U25" s="165">
        <f t="shared" si="17"/>
        <v>0.15173397814087175</v>
      </c>
      <c r="V25" s="114"/>
      <c r="W25" s="154">
        <f t="shared" si="0"/>
        <v>0.94020532745988006</v>
      </c>
      <c r="Z25" s="181"/>
      <c r="AA25" s="179"/>
    </row>
    <row r="26" spans="1:27" x14ac:dyDescent="0.25">
      <c r="A26" s="163"/>
      <c r="B26" s="163"/>
      <c r="C26" s="438"/>
      <c r="D26" s="147" t="s">
        <v>194</v>
      </c>
      <c r="E26" s="166">
        <f t="shared" si="14"/>
        <v>51.851851851851805</v>
      </c>
      <c r="F26" s="167">
        <f t="shared" si="15"/>
        <v>53.571428571428598</v>
      </c>
      <c r="G26" s="168">
        <f t="shared" si="16"/>
        <v>55.172413793103416</v>
      </c>
      <c r="H26" s="147">
        <f t="shared" si="8"/>
        <v>5.9794672540119928E-2</v>
      </c>
      <c r="I26" s="164">
        <f t="shared" si="8"/>
        <v>0.16459752684908685</v>
      </c>
      <c r="J26" s="164">
        <f t="shared" si="9"/>
        <v>8.5346865773600525E-2</v>
      </c>
      <c r="K26" s="147">
        <f t="shared" si="10"/>
        <v>8.8177246526296577E-2</v>
      </c>
      <c r="L26" s="147">
        <f t="shared" si="11"/>
        <v>9.0812428606392701E-2</v>
      </c>
      <c r="M26" s="147">
        <f t="shared" si="3"/>
        <v>0.3734903727110353</v>
      </c>
      <c r="N26" s="147">
        <f t="shared" si="6"/>
        <v>0.39671641725882767</v>
      </c>
      <c r="O26" s="164">
        <f t="shared" si="12"/>
        <v>0.42181100637852786</v>
      </c>
      <c r="P26" s="147">
        <f t="shared" si="1"/>
        <v>1.9060288965576685E-3</v>
      </c>
      <c r="Q26" s="147">
        <f t="shared" si="4"/>
        <v>2.0916990454755021E-3</v>
      </c>
      <c r="R26" s="147">
        <f t="shared" si="7"/>
        <v>2.2904757057645025E-3</v>
      </c>
      <c r="S26" s="156">
        <f t="shared" si="13"/>
        <v>9.8831127969656804E-2</v>
      </c>
      <c r="T26" s="156">
        <f t="shared" si="2"/>
        <v>0.11205530600761623</v>
      </c>
      <c r="U26" s="165">
        <f t="shared" si="17"/>
        <v>0.12637107342148973</v>
      </c>
      <c r="V26" s="114"/>
      <c r="W26" s="154">
        <f t="shared" si="0"/>
        <v>0.94020532745988006</v>
      </c>
      <c r="Y26" s="181"/>
      <c r="Z26" s="181"/>
      <c r="AA26" s="179"/>
    </row>
    <row r="27" spans="1:27" x14ac:dyDescent="0.25">
      <c r="A27" s="163"/>
      <c r="B27" s="163"/>
      <c r="C27" s="438"/>
      <c r="D27" s="147" t="s">
        <v>195</v>
      </c>
      <c r="E27" s="166">
        <f t="shared" si="14"/>
        <v>48.148148148148103</v>
      </c>
      <c r="F27" s="167">
        <f t="shared" si="15"/>
        <v>50.000000000000028</v>
      </c>
      <c r="G27" s="168">
        <f t="shared" si="16"/>
        <v>51.724137931034448</v>
      </c>
      <c r="H27" s="147">
        <f t="shared" si="8"/>
        <v>5.9794672540119928E-2</v>
      </c>
      <c r="I27" s="164">
        <f t="shared" si="8"/>
        <v>0.16459752684908685</v>
      </c>
      <c r="J27" s="164">
        <f t="shared" si="9"/>
        <v>7.9250661075486187E-2</v>
      </c>
      <c r="K27" s="147">
        <f t="shared" si="10"/>
        <v>8.2298763424543467E-2</v>
      </c>
      <c r="L27" s="147">
        <f t="shared" si="11"/>
        <v>8.5136651818493142E-2</v>
      </c>
      <c r="M27" s="147">
        <f t="shared" si="3"/>
        <v>0.35115763817789158</v>
      </c>
      <c r="N27" s="147">
        <f t="shared" si="6"/>
        <v>0.37299488899754646</v>
      </c>
      <c r="O27" s="164">
        <f t="shared" si="12"/>
        <v>0.39658895537830535</v>
      </c>
      <c r="P27" s="147">
        <f t="shared" si="1"/>
        <v>1.6640543426334252E-3</v>
      </c>
      <c r="Q27" s="147">
        <f t="shared" si="4"/>
        <v>1.8355181469322252E-3</v>
      </c>
      <c r="R27" s="147">
        <f t="shared" si="7"/>
        <v>2.0189226196661377E-3</v>
      </c>
      <c r="S27" s="156">
        <f t="shared" si="13"/>
        <v>8.0121135015683353E-2</v>
      </c>
      <c r="T27" s="156">
        <f t="shared" si="2"/>
        <v>9.1775907346611313E-2</v>
      </c>
      <c r="U27" s="165">
        <f t="shared" si="17"/>
        <v>0.10442703205169671</v>
      </c>
      <c r="V27" s="114"/>
      <c r="W27" s="154">
        <f t="shared" si="0"/>
        <v>0.94020532745988006</v>
      </c>
      <c r="Y27" s="181"/>
      <c r="Z27" s="181"/>
      <c r="AA27" s="179"/>
    </row>
    <row r="28" spans="1:27" x14ac:dyDescent="0.25">
      <c r="A28" s="163"/>
      <c r="B28" s="163"/>
      <c r="C28" s="438"/>
      <c r="D28" s="147" t="s">
        <v>196</v>
      </c>
      <c r="E28" s="166">
        <f t="shared" si="14"/>
        <v>44.4444444444444</v>
      </c>
      <c r="F28" s="167">
        <f t="shared" si="15"/>
        <v>46.428571428571459</v>
      </c>
      <c r="G28" s="168">
        <f t="shared" si="16"/>
        <v>48.27586206896548</v>
      </c>
      <c r="H28" s="147">
        <f t="shared" si="8"/>
        <v>5.9794672540119928E-2</v>
      </c>
      <c r="I28" s="164">
        <f t="shared" si="8"/>
        <v>0.16459752684908685</v>
      </c>
      <c r="J28" s="164">
        <f t="shared" si="9"/>
        <v>7.3154456377371863E-2</v>
      </c>
      <c r="K28" s="147">
        <f t="shared" si="10"/>
        <v>7.6420280322790371E-2</v>
      </c>
      <c r="L28" s="147">
        <f t="shared" si="11"/>
        <v>7.9460875030593583E-2</v>
      </c>
      <c r="M28" s="147">
        <f t="shared" si="3"/>
        <v>0.33016028219308263</v>
      </c>
      <c r="N28" s="147">
        <f t="shared" si="6"/>
        <v>0.35069178175079979</v>
      </c>
      <c r="O28" s="164">
        <f t="shared" si="12"/>
        <v>0.37287504865843135</v>
      </c>
      <c r="P28" s="147">
        <f t="shared" si="1"/>
        <v>1.4442025459631028E-3</v>
      </c>
      <c r="Q28" s="147">
        <f t="shared" si="4"/>
        <v>1.6024950875096107E-3</v>
      </c>
      <c r="R28" s="147">
        <f t="shared" si="7"/>
        <v>1.7716550158900688E-3</v>
      </c>
      <c r="S28" s="156">
        <f t="shared" si="13"/>
        <v>6.4186779820582282E-2</v>
      </c>
      <c r="T28" s="156">
        <f t="shared" si="2"/>
        <v>7.4401557634374824E-2</v>
      </c>
      <c r="U28" s="165">
        <f t="shared" si="17"/>
        <v>8.5528173180899808E-2</v>
      </c>
      <c r="V28" s="114"/>
      <c r="W28" s="154">
        <f t="shared" si="0"/>
        <v>0.94020532745988006</v>
      </c>
      <c r="Y28" s="179"/>
      <c r="Z28" s="179"/>
      <c r="AA28" s="179"/>
    </row>
    <row r="29" spans="1:27" x14ac:dyDescent="0.25">
      <c r="A29" s="163"/>
      <c r="B29" s="163"/>
      <c r="C29" s="438"/>
      <c r="D29" s="147" t="s">
        <v>197</v>
      </c>
      <c r="E29" s="166">
        <f t="shared" si="14"/>
        <v>40.740740740740698</v>
      </c>
      <c r="F29" s="167">
        <f t="shared" si="15"/>
        <v>42.85714285714289</v>
      </c>
      <c r="G29" s="168">
        <f t="shared" si="16"/>
        <v>44.827586206896513</v>
      </c>
      <c r="H29" s="147">
        <f t="shared" si="8"/>
        <v>5.9794672540119928E-2</v>
      </c>
      <c r="I29" s="164">
        <f t="shared" si="8"/>
        <v>0.16459752684908685</v>
      </c>
      <c r="J29" s="164">
        <f t="shared" si="9"/>
        <v>6.7058251679257538E-2</v>
      </c>
      <c r="K29" s="147">
        <f t="shared" si="10"/>
        <v>7.0541797221037275E-2</v>
      </c>
      <c r="L29" s="147">
        <f t="shared" si="11"/>
        <v>7.3785098242694039E-2</v>
      </c>
      <c r="M29" s="147">
        <f t="shared" si="3"/>
        <v>0.31041845623359365</v>
      </c>
      <c r="N29" s="147">
        <f t="shared" si="6"/>
        <v>0.32972228149849953</v>
      </c>
      <c r="O29" s="164">
        <f t="shared" si="12"/>
        <v>0.35057910722551916</v>
      </c>
      <c r="P29" s="147">
        <f t="shared" si="1"/>
        <v>1.2446930170084958E-3</v>
      </c>
      <c r="Q29" s="147">
        <f t="shared" si="4"/>
        <v>1.3907763863121444E-3</v>
      </c>
      <c r="R29" s="147">
        <f t="shared" si="7"/>
        <v>1.5467395211922284E-3</v>
      </c>
      <c r="S29" s="156">
        <f t="shared" si="13"/>
        <v>5.0709715507753481E-2</v>
      </c>
      <c r="T29" s="156">
        <f t="shared" si="2"/>
        <v>5.9604702270520518E-2</v>
      </c>
      <c r="U29" s="165">
        <f t="shared" si="17"/>
        <v>6.9336599225858456E-2</v>
      </c>
      <c r="V29" s="114"/>
      <c r="W29" s="154">
        <f t="shared" si="0"/>
        <v>0.94020532745988006</v>
      </c>
      <c r="Y29" s="179"/>
      <c r="Z29" s="179"/>
      <c r="AA29" s="179"/>
    </row>
    <row r="30" spans="1:27" x14ac:dyDescent="0.25">
      <c r="A30" s="163"/>
      <c r="B30" s="163"/>
      <c r="C30" s="438"/>
      <c r="D30" s="147" t="s">
        <v>198</v>
      </c>
      <c r="E30" s="166">
        <f t="shared" si="14"/>
        <v>37.037037037036995</v>
      </c>
      <c r="F30" s="167">
        <f t="shared" si="15"/>
        <v>39.28571428571432</v>
      </c>
      <c r="G30" s="168">
        <f t="shared" si="16"/>
        <v>41.379310344827545</v>
      </c>
      <c r="H30" s="147">
        <f t="shared" ref="H30:I45" si="18">H29</f>
        <v>5.9794672540119928E-2</v>
      </c>
      <c r="I30" s="164">
        <f t="shared" si="18"/>
        <v>0.16459752684908685</v>
      </c>
      <c r="J30" s="164">
        <f t="shared" si="9"/>
        <v>6.0962046981143214E-2</v>
      </c>
      <c r="K30" s="147">
        <f t="shared" si="10"/>
        <v>6.4663314119284179E-2</v>
      </c>
      <c r="L30" s="147">
        <f t="shared" si="11"/>
        <v>6.8109321454794494E-2</v>
      </c>
      <c r="M30" s="147">
        <f t="shared" si="3"/>
        <v>0.29185708629269635</v>
      </c>
      <c r="N30" s="147">
        <f t="shared" si="6"/>
        <v>0.3100066456471155</v>
      </c>
      <c r="O30" s="164">
        <f t="shared" si="12"/>
        <v>0.32961634430956166</v>
      </c>
      <c r="P30" s="147">
        <f t="shared" si="1"/>
        <v>1.0638790960395442E-3</v>
      </c>
      <c r="Q30" s="147">
        <f t="shared" si="4"/>
        <v>1.1986474204064052E-3</v>
      </c>
      <c r="R30" s="147">
        <f t="shared" si="7"/>
        <v>1.3423871427855481E-3</v>
      </c>
      <c r="S30" s="156">
        <f t="shared" si="13"/>
        <v>3.9402929482946034E-2</v>
      </c>
      <c r="T30" s="156">
        <f t="shared" si="2"/>
        <v>4.7089720087394531E-2</v>
      </c>
      <c r="U30" s="165">
        <f t="shared" si="17"/>
        <v>5.5547054184229526E-2</v>
      </c>
      <c r="W30" s="154">
        <f t="shared" si="0"/>
        <v>0.94020532745988006</v>
      </c>
    </row>
    <row r="31" spans="1:27" x14ac:dyDescent="0.25">
      <c r="A31" s="163"/>
      <c r="B31" s="163"/>
      <c r="C31" s="438"/>
      <c r="D31" s="147" t="s">
        <v>199</v>
      </c>
      <c r="E31" s="166">
        <f t="shared" si="14"/>
        <v>33.333333333333293</v>
      </c>
      <c r="F31" s="167">
        <f t="shared" si="15"/>
        <v>35.714285714285751</v>
      </c>
      <c r="G31" s="168">
        <f t="shared" si="16"/>
        <v>37.931034482758577</v>
      </c>
      <c r="H31" s="147">
        <f t="shared" si="18"/>
        <v>5.9794672540119928E-2</v>
      </c>
      <c r="I31" s="164">
        <f t="shared" si="18"/>
        <v>0.16459752684908685</v>
      </c>
      <c r="J31" s="164">
        <f t="shared" si="9"/>
        <v>5.4865842283028883E-2</v>
      </c>
      <c r="K31" s="147">
        <f t="shared" si="10"/>
        <v>5.8784831017531076E-2</v>
      </c>
      <c r="L31" s="147">
        <f t="shared" si="11"/>
        <v>6.2433544666894943E-2</v>
      </c>
      <c r="M31" s="147">
        <f t="shared" si="3"/>
        <v>0.27440558738931103</v>
      </c>
      <c r="N31" s="147">
        <f t="shared" si="6"/>
        <v>0.29146989978538523</v>
      </c>
      <c r="O31" s="164">
        <f t="shared" si="12"/>
        <v>0.30990704293769999</v>
      </c>
      <c r="P31" s="147">
        <f t="shared" si="1"/>
        <v>9.0023831448262249E-4</v>
      </c>
      <c r="Q31" s="147">
        <f t="shared" si="4"/>
        <v>1.0245224458292226E-3</v>
      </c>
      <c r="R31" s="147">
        <f t="shared" si="7"/>
        <v>1.1569429145639005E-3</v>
      </c>
      <c r="S31" s="156">
        <f t="shared" si="13"/>
        <v>3.000794381608738E-2</v>
      </c>
      <c r="T31" s="156">
        <f t="shared" si="2"/>
        <v>3.6590087351043701E-2</v>
      </c>
      <c r="U31" s="165">
        <f t="shared" si="17"/>
        <v>4.3884041586906522E-2</v>
      </c>
      <c r="W31" s="154">
        <f t="shared" si="0"/>
        <v>0.94020532745988006</v>
      </c>
    </row>
    <row r="32" spans="1:27" x14ac:dyDescent="0.25">
      <c r="A32" s="163"/>
      <c r="B32" s="163"/>
      <c r="C32" s="438"/>
      <c r="D32" s="147" t="s">
        <v>200</v>
      </c>
      <c r="E32" s="166">
        <f t="shared" si="14"/>
        <v>29.629629629629591</v>
      </c>
      <c r="F32" s="167">
        <f t="shared" si="15"/>
        <v>32.142857142857181</v>
      </c>
      <c r="G32" s="168">
        <f t="shared" si="16"/>
        <v>34.482758620689609</v>
      </c>
      <c r="H32" s="147">
        <f t="shared" si="18"/>
        <v>5.9794672540119928E-2</v>
      </c>
      <c r="I32" s="164">
        <f t="shared" si="18"/>
        <v>0.16459752684908685</v>
      </c>
      <c r="J32" s="164">
        <f t="shared" si="9"/>
        <v>4.8769637584914566E-2</v>
      </c>
      <c r="K32" s="147">
        <f t="shared" si="10"/>
        <v>5.2906347915777981E-2</v>
      </c>
      <c r="L32" s="147">
        <f t="shared" si="11"/>
        <v>5.6757767878995391E-2</v>
      </c>
      <c r="M32" s="147">
        <f t="shared" si="3"/>
        <v>0.25799759514818793</v>
      </c>
      <c r="N32" s="147">
        <f t="shared" si="6"/>
        <v>0.27404155257241652</v>
      </c>
      <c r="O32" s="164">
        <f t="shared" si="12"/>
        <v>0.29137625278736334</v>
      </c>
      <c r="P32" s="147">
        <f t="shared" si="1"/>
        <v>7.5236343045339085E-4</v>
      </c>
      <c r="Q32" s="147">
        <f t="shared" si="4"/>
        <v>8.6693531550377544E-4</v>
      </c>
      <c r="R32" s="147">
        <f t="shared" si="7"/>
        <v>9.8887626530903632E-4</v>
      </c>
      <c r="S32" s="156">
        <f t="shared" si="13"/>
        <v>2.2292249791211551E-2</v>
      </c>
      <c r="T32" s="156">
        <f t="shared" si="2"/>
        <v>2.7865777998335672E-2</v>
      </c>
      <c r="U32" s="165">
        <f t="shared" si="17"/>
        <v>3.4099181562380516E-2</v>
      </c>
      <c r="W32" s="154">
        <f t="shared" si="0"/>
        <v>0.94020532745988006</v>
      </c>
    </row>
    <row r="33" spans="1:23" x14ac:dyDescent="0.25">
      <c r="A33" s="163"/>
      <c r="B33" s="163"/>
      <c r="C33" s="438"/>
      <c r="D33" s="147" t="s">
        <v>201</v>
      </c>
      <c r="E33" s="166">
        <f t="shared" si="14"/>
        <v>25.925925925925888</v>
      </c>
      <c r="F33" s="167">
        <f t="shared" si="15"/>
        <v>28.571428571428608</v>
      </c>
      <c r="G33" s="168">
        <f t="shared" si="16"/>
        <v>31.034482758620644</v>
      </c>
      <c r="H33" s="147">
        <f t="shared" si="18"/>
        <v>5.9794672540119928E-2</v>
      </c>
      <c r="I33" s="164">
        <f t="shared" si="18"/>
        <v>0.16459752684908685</v>
      </c>
      <c r="J33" s="164">
        <f t="shared" si="9"/>
        <v>4.2673432886800235E-2</v>
      </c>
      <c r="K33" s="147">
        <f t="shared" si="10"/>
        <v>4.7027864814024871E-2</v>
      </c>
      <c r="L33" s="147">
        <f t="shared" si="11"/>
        <v>5.1081991091095846E-2</v>
      </c>
      <c r="M33" s="147">
        <f t="shared" si="3"/>
        <v>0.24257071343016359</v>
      </c>
      <c r="N33" s="147">
        <f t="shared" si="6"/>
        <v>0.25765532767396282</v>
      </c>
      <c r="O33" s="164">
        <f t="shared" si="12"/>
        <v>0.27395350516597572</v>
      </c>
      <c r="P33" s="147">
        <f t="shared" si="1"/>
        <v>6.1895409231098515E-4</v>
      </c>
      <c r="Q33" s="147">
        <f t="shared" si="4"/>
        <v>7.2453084639978818E-4</v>
      </c>
      <c r="R33" s="147">
        <f t="shared" si="7"/>
        <v>8.3677205955796701E-4</v>
      </c>
      <c r="S33" s="156">
        <f t="shared" si="13"/>
        <v>1.6046957948803297E-2</v>
      </c>
      <c r="T33" s="156">
        <f t="shared" si="2"/>
        <v>2.070088132570826E-2</v>
      </c>
      <c r="U33" s="165">
        <f t="shared" si="17"/>
        <v>2.5968788055247213E-2</v>
      </c>
      <c r="W33" s="154">
        <f t="shared" si="0"/>
        <v>0.94020532745988006</v>
      </c>
    </row>
    <row r="34" spans="1:23" x14ac:dyDescent="0.25">
      <c r="A34" s="163"/>
      <c r="B34" s="163"/>
      <c r="C34" s="438"/>
      <c r="D34" s="147" t="s">
        <v>202</v>
      </c>
      <c r="E34" s="166">
        <f t="shared" si="14"/>
        <v>22.222222222222186</v>
      </c>
      <c r="F34" s="167">
        <f t="shared" si="15"/>
        <v>25.000000000000036</v>
      </c>
      <c r="G34" s="168">
        <f t="shared" si="16"/>
        <v>27.58620689655168</v>
      </c>
      <c r="H34" s="147">
        <f t="shared" si="18"/>
        <v>5.9794672540119928E-2</v>
      </c>
      <c r="I34" s="164">
        <f t="shared" si="18"/>
        <v>0.16459752684908685</v>
      </c>
      <c r="J34" s="164">
        <f t="shared" si="9"/>
        <v>3.657722818868591E-2</v>
      </c>
      <c r="K34" s="147">
        <f t="shared" si="10"/>
        <v>4.1149381712271768E-2</v>
      </c>
      <c r="L34" s="147">
        <f t="shared" si="11"/>
        <v>4.5406214303196302E-2</v>
      </c>
      <c r="M34" s="147">
        <f t="shared" si="3"/>
        <v>0.22806627705278368</v>
      </c>
      <c r="N34" s="147">
        <f t="shared" si="6"/>
        <v>0.24224891172748092</v>
      </c>
      <c r="O34" s="164">
        <f t="shared" si="12"/>
        <v>0.25757254503335814</v>
      </c>
      <c r="P34" s="147">
        <f t="shared" si="1"/>
        <v>4.9880908718047076E-4</v>
      </c>
      <c r="Q34" s="147">
        <f t="shared" si="4"/>
        <v>5.9605679148233494E-4</v>
      </c>
      <c r="R34" s="147">
        <f t="shared" si="7"/>
        <v>6.9932226512531238E-4</v>
      </c>
      <c r="S34" s="156">
        <f t="shared" si="13"/>
        <v>1.1084646381788221E-2</v>
      </c>
      <c r="T34" s="156">
        <f t="shared" si="2"/>
        <v>1.4901419787058395E-2</v>
      </c>
      <c r="U34" s="165">
        <f t="shared" si="17"/>
        <v>1.9291648693112035E-2</v>
      </c>
      <c r="W34" s="154">
        <f t="shared" si="0"/>
        <v>0.94020532745988006</v>
      </c>
    </row>
    <row r="35" spans="1:23" x14ac:dyDescent="0.25">
      <c r="A35" s="163"/>
      <c r="B35" s="163"/>
      <c r="C35" s="438"/>
      <c r="D35" s="147" t="s">
        <v>203</v>
      </c>
      <c r="E35" s="166">
        <f t="shared" si="14"/>
        <v>18.518518518518484</v>
      </c>
      <c r="F35" s="167">
        <f t="shared" si="15"/>
        <v>21.428571428571463</v>
      </c>
      <c r="G35" s="168">
        <f t="shared" si="16"/>
        <v>24.137931034482715</v>
      </c>
      <c r="H35" s="147">
        <f t="shared" si="18"/>
        <v>5.9794672540119928E-2</v>
      </c>
      <c r="I35" s="164">
        <f t="shared" si="18"/>
        <v>0.16459752684908685</v>
      </c>
      <c r="J35" s="164">
        <f t="shared" si="9"/>
        <v>3.0481023490571579E-2</v>
      </c>
      <c r="K35" s="147">
        <f t="shared" si="10"/>
        <v>3.5270898610518665E-2</v>
      </c>
      <c r="L35" s="147">
        <f t="shared" si="11"/>
        <v>3.9730437515296757E-2</v>
      </c>
      <c r="M35" s="147">
        <f t="shared" si="3"/>
        <v>0.21442912869896821</v>
      </c>
      <c r="N35" s="147">
        <f t="shared" si="6"/>
        <v>0.22776371737753578</v>
      </c>
      <c r="O35" s="164">
        <f t="shared" si="12"/>
        <v>0.24217107904776319</v>
      </c>
      <c r="P35" s="147">
        <f t="shared" si="1"/>
        <v>3.9081913429373183E-4</v>
      </c>
      <c r="Q35" s="147">
        <f t="shared" si="4"/>
        <v>4.8035637498885792E-4</v>
      </c>
      <c r="R35" s="147">
        <f t="shared" si="7"/>
        <v>5.7531820437186308E-4</v>
      </c>
      <c r="S35" s="156">
        <f t="shared" si="13"/>
        <v>7.2373913758098348E-3</v>
      </c>
      <c r="T35" s="156">
        <f t="shared" si="2"/>
        <v>1.0293350892618401E-2</v>
      </c>
      <c r="U35" s="165">
        <f t="shared" si="17"/>
        <v>1.3886991140010463E-2</v>
      </c>
      <c r="W35" s="154">
        <f t="shared" si="0"/>
        <v>0.94020532745988006</v>
      </c>
    </row>
    <row r="36" spans="1:23" x14ac:dyDescent="0.25">
      <c r="A36" s="163"/>
      <c r="B36" s="163"/>
      <c r="C36" s="438"/>
      <c r="D36" s="147" t="s">
        <v>204</v>
      </c>
      <c r="E36" s="166">
        <f t="shared" si="14"/>
        <v>14.814814814814779</v>
      </c>
      <c r="F36" s="167">
        <f t="shared" si="15"/>
        <v>17.85714285714289</v>
      </c>
      <c r="G36" s="168">
        <f t="shared" si="16"/>
        <v>20.689655172413751</v>
      </c>
      <c r="H36" s="147">
        <f t="shared" si="18"/>
        <v>5.9794672540119928E-2</v>
      </c>
      <c r="I36" s="164">
        <f t="shared" si="18"/>
        <v>0.16459752684908685</v>
      </c>
      <c r="J36" s="164">
        <f t="shared" si="9"/>
        <v>2.4384818792457255E-2</v>
      </c>
      <c r="K36" s="147">
        <f t="shared" si="10"/>
        <v>2.9392415508765563E-2</v>
      </c>
      <c r="L36" s="147">
        <f t="shared" si="11"/>
        <v>3.4054660727397212E-2</v>
      </c>
      <c r="M36" s="147">
        <f t="shared" si="3"/>
        <v>0.20160740916535017</v>
      </c>
      <c r="N36" s="147">
        <f t="shared" si="6"/>
        <v>0.2141446604804256</v>
      </c>
      <c r="O36" s="164">
        <f t="shared" si="12"/>
        <v>0.22769053867741471</v>
      </c>
      <c r="P36" s="147">
        <f t="shared" si="1"/>
        <v>2.9396018570897989E-4</v>
      </c>
      <c r="Q36" s="147">
        <f t="shared" si="4"/>
        <v>3.7636135236986682E-4</v>
      </c>
      <c r="R36" s="147">
        <f t="shared" si="7"/>
        <v>4.6364334920149521E-4</v>
      </c>
      <c r="S36" s="156">
        <f t="shared" si="13"/>
        <v>4.3549657142070994E-3</v>
      </c>
      <c r="T36" s="156">
        <f t="shared" si="2"/>
        <v>6.7207384351762054E-3</v>
      </c>
      <c r="U36" s="165">
        <f t="shared" si="17"/>
        <v>9.5926210179619505E-3</v>
      </c>
      <c r="W36" s="154">
        <f t="shared" si="0"/>
        <v>0.94020532745988006</v>
      </c>
    </row>
    <row r="37" spans="1:23" x14ac:dyDescent="0.25">
      <c r="A37" s="163"/>
      <c r="B37" s="163"/>
      <c r="C37" s="438"/>
      <c r="D37" s="147" t="s">
        <v>205</v>
      </c>
      <c r="E37" s="166">
        <f t="shared" si="14"/>
        <v>11.111111111111075</v>
      </c>
      <c r="F37" s="167">
        <f t="shared" si="15"/>
        <v>14.285714285714318</v>
      </c>
      <c r="G37" s="168">
        <f t="shared" si="16"/>
        <v>17.241379310344787</v>
      </c>
      <c r="H37" s="147">
        <f t="shared" si="18"/>
        <v>5.9794672540119928E-2</v>
      </c>
      <c r="I37" s="164">
        <f t="shared" si="18"/>
        <v>0.16459752684908685</v>
      </c>
      <c r="J37" s="164">
        <f t="shared" si="9"/>
        <v>1.8288614094342924E-2</v>
      </c>
      <c r="K37" s="147">
        <f t="shared" si="10"/>
        <v>2.351393240701246E-2</v>
      </c>
      <c r="L37" s="147">
        <f t="shared" si="11"/>
        <v>2.8378883939497664E-2</v>
      </c>
      <c r="M37" s="147">
        <f t="shared" si="3"/>
        <v>0.18955236015264607</v>
      </c>
      <c r="N37" s="147">
        <f t="shared" si="6"/>
        <v>0.20133995063078339</v>
      </c>
      <c r="O37" s="164">
        <f t="shared" si="12"/>
        <v>0.21407585747671518</v>
      </c>
      <c r="P37" s="147">
        <f t="shared" si="1"/>
        <v>2.0728719949850873E-4</v>
      </c>
      <c r="Q37" s="147">
        <f t="shared" si="4"/>
        <v>2.8308555883852329E-4</v>
      </c>
      <c r="R37" s="147">
        <f t="shared" si="7"/>
        <v>3.6326662246715589E-4</v>
      </c>
      <c r="S37" s="156">
        <f t="shared" si="13"/>
        <v>2.3031911055389786E-3</v>
      </c>
      <c r="T37" s="156">
        <f t="shared" si="2"/>
        <v>4.0440794119789136E-3</v>
      </c>
      <c r="U37" s="165">
        <f t="shared" si="17"/>
        <v>6.2632176287440522E-3</v>
      </c>
      <c r="W37" s="154">
        <f t="shared" si="0"/>
        <v>0.94020532745988006</v>
      </c>
    </row>
    <row r="38" spans="1:23" x14ac:dyDescent="0.25">
      <c r="A38" s="163"/>
      <c r="B38" s="163"/>
      <c r="C38" s="438"/>
      <c r="D38" s="147" t="s">
        <v>206</v>
      </c>
      <c r="E38" s="166">
        <f t="shared" si="14"/>
        <v>7.407407407407371</v>
      </c>
      <c r="F38" s="167">
        <f t="shared" si="15"/>
        <v>10.714285714285747</v>
      </c>
      <c r="G38" s="168">
        <f t="shared" si="16"/>
        <v>13.793103448275822</v>
      </c>
      <c r="H38" s="147">
        <f t="shared" si="18"/>
        <v>5.9794672540119928E-2</v>
      </c>
      <c r="I38" s="164">
        <f t="shared" si="18"/>
        <v>0.16459752684908685</v>
      </c>
      <c r="J38" s="164">
        <f t="shared" si="9"/>
        <v>1.2192409396228596E-2</v>
      </c>
      <c r="K38" s="147">
        <f t="shared" si="10"/>
        <v>1.7635449305259357E-2</v>
      </c>
      <c r="L38" s="147">
        <f t="shared" si="11"/>
        <v>2.270310715159812E-2</v>
      </c>
      <c r="M38" s="147">
        <f t="shared" si="3"/>
        <v>0.17821813884811172</v>
      </c>
      <c r="N38" s="147">
        <f t="shared" si="6"/>
        <v>0.18930089421357177</v>
      </c>
      <c r="O38" s="164">
        <f t="shared" si="12"/>
        <v>0.20127526168014961</v>
      </c>
      <c r="P38" s="147">
        <f t="shared" si="1"/>
        <v>1.2992835285515771E-4</v>
      </c>
      <c r="Q38" s="147">
        <f t="shared" si="4"/>
        <v>1.9961891291020282E-4</v>
      </c>
      <c r="R38" s="147">
        <f t="shared" si="7"/>
        <v>2.7323617098558143E-4</v>
      </c>
      <c r="S38" s="156">
        <f t="shared" si="13"/>
        <v>9.6243224337153391E-4</v>
      </c>
      <c r="T38" s="156">
        <f t="shared" si="2"/>
        <v>2.1387740668950368E-3</v>
      </c>
      <c r="U38" s="165">
        <f t="shared" si="17"/>
        <v>3.7687747722149052E-3</v>
      </c>
      <c r="W38" s="154">
        <f t="shared" si="0"/>
        <v>0.94020532745988006</v>
      </c>
    </row>
    <row r="39" spans="1:23" x14ac:dyDescent="0.25">
      <c r="A39" s="163"/>
      <c r="B39" s="163"/>
      <c r="C39" s="438"/>
      <c r="D39" s="147" t="s">
        <v>207</v>
      </c>
      <c r="E39" s="166">
        <f t="shared" si="14"/>
        <v>3.7037037037036673</v>
      </c>
      <c r="F39" s="167">
        <f t="shared" si="15"/>
        <v>7.1428571428571761</v>
      </c>
      <c r="G39" s="168">
        <f t="shared" si="16"/>
        <v>10.344827586206858</v>
      </c>
      <c r="H39" s="147">
        <f t="shared" si="18"/>
        <v>5.9794672540119928E-2</v>
      </c>
      <c r="I39" s="164">
        <f t="shared" si="18"/>
        <v>0.16459752684908685</v>
      </c>
      <c r="J39" s="164">
        <f t="shared" si="9"/>
        <v>6.0962046981142678E-3</v>
      </c>
      <c r="K39" s="147">
        <f t="shared" si="10"/>
        <v>1.1756966203506258E-2</v>
      </c>
      <c r="L39" s="147">
        <f t="shared" si="11"/>
        <v>1.7027330363698575E-2</v>
      </c>
      <c r="M39" s="147">
        <f t="shared" si="3"/>
        <v>0.16756164359497924</v>
      </c>
      <c r="N39" s="147">
        <f t="shared" si="6"/>
        <v>0.17798170923251935</v>
      </c>
      <c r="O39" s="164">
        <f t="shared" si="12"/>
        <v>0.18924007331755813</v>
      </c>
      <c r="P39" s="147">
        <f t="shared" si="1"/>
        <v>6.10796647712529E-5</v>
      </c>
      <c r="Q39" s="147">
        <f t="shared" si="4"/>
        <v>1.2512184358661523E-4</v>
      </c>
      <c r="R39" s="147">
        <f t="shared" si="7"/>
        <v>1.9267357771153663E-4</v>
      </c>
      <c r="S39" s="156">
        <f t="shared" si="13"/>
        <v>2.2622098063426778E-4</v>
      </c>
      <c r="T39" s="156">
        <f t="shared" si="2"/>
        <v>8.9372745419011301E-4</v>
      </c>
      <c r="U39" s="165">
        <f t="shared" si="17"/>
        <v>1.9931749418434746E-3</v>
      </c>
      <c r="W39" s="154">
        <f t="shared" si="0"/>
        <v>0.94020532745988006</v>
      </c>
    </row>
    <row r="40" spans="1:23" x14ac:dyDescent="0.25">
      <c r="A40" s="163"/>
      <c r="B40" s="163"/>
      <c r="C40" s="438"/>
      <c r="D40" s="147" t="s">
        <v>208</v>
      </c>
      <c r="E40" s="166">
        <f t="shared" si="14"/>
        <v>-3.6415315207705135E-14</v>
      </c>
      <c r="F40" s="167">
        <f t="shared" si="15"/>
        <v>3.5714285714286045</v>
      </c>
      <c r="G40" s="168">
        <f t="shared" si="16"/>
        <v>6.8965517241378924</v>
      </c>
      <c r="H40" s="147">
        <f t="shared" si="18"/>
        <v>5.9794672540119928E-2</v>
      </c>
      <c r="I40" s="164">
        <f t="shared" si="18"/>
        <v>0.16459752684908685</v>
      </c>
      <c r="J40" s="164">
        <f t="shared" si="9"/>
        <v>-5.9938708226182065E-17</v>
      </c>
      <c r="K40" s="147">
        <f t="shared" si="10"/>
        <v>5.8784831017531557E-3</v>
      </c>
      <c r="L40" s="147">
        <f t="shared" si="11"/>
        <v>1.1351553575799029E-2</v>
      </c>
      <c r="M40" s="147">
        <f t="shared" si="3"/>
        <v>0.15754234998593317</v>
      </c>
      <c r="N40" s="147">
        <f t="shared" si="6"/>
        <v>0.16733935121083002</v>
      </c>
      <c r="O40" s="164">
        <f t="shared" si="12"/>
        <v>0.17792452510206644</v>
      </c>
      <c r="P40" s="147">
        <f t="shared" si="1"/>
        <v>-5.6463421336390134E-19</v>
      </c>
      <c r="Q40" s="147">
        <f t="shared" si="4"/>
        <v>5.8820111960869005E-5</v>
      </c>
      <c r="R40" s="147">
        <f t="shared" si="7"/>
        <v>1.2076848281676105E-4</v>
      </c>
      <c r="S40" s="156">
        <f t="shared" si="13"/>
        <v>2.0561332856701102E-32</v>
      </c>
      <c r="T40" s="156">
        <f t="shared" si="2"/>
        <v>2.1007182843167695E-4</v>
      </c>
      <c r="U40" s="165">
        <f t="shared" si="17"/>
        <v>8.3288608839145086E-4</v>
      </c>
      <c r="W40" s="154">
        <f t="shared" si="0"/>
        <v>0.94020532745988006</v>
      </c>
    </row>
    <row r="41" spans="1:23" x14ac:dyDescent="0.25">
      <c r="A41" s="163"/>
      <c r="B41" s="163"/>
      <c r="C41" s="438"/>
      <c r="D41" s="147" t="s">
        <v>209</v>
      </c>
      <c r="E41" s="166">
        <f t="shared" si="14"/>
        <v>0</v>
      </c>
      <c r="F41" s="167">
        <f t="shared" si="15"/>
        <v>3.2862601528904634E-14</v>
      </c>
      <c r="G41" s="168">
        <f t="shared" si="16"/>
        <v>3.4482758620689271</v>
      </c>
      <c r="H41" s="147">
        <f t="shared" si="18"/>
        <v>5.9794672540119928E-2</v>
      </c>
      <c r="I41" s="164">
        <f t="shared" si="18"/>
        <v>0.16459752684908685</v>
      </c>
      <c r="J41" s="164">
        <f t="shared" si="9"/>
        <v>0</v>
      </c>
      <c r="K41" s="147">
        <f t="shared" si="10"/>
        <v>5.4091029374847233E-17</v>
      </c>
      <c r="L41" s="147">
        <f t="shared" si="11"/>
        <v>5.6757767878994839E-3</v>
      </c>
      <c r="M41" s="147">
        <f t="shared" si="3"/>
        <v>0.14812215675732332</v>
      </c>
      <c r="N41" s="147">
        <f t="shared" si="6"/>
        <v>0.15733334950210232</v>
      </c>
      <c r="O41" s="164">
        <f t="shared" si="12"/>
        <v>0.16728558638673202</v>
      </c>
      <c r="P41" s="147">
        <f t="shared" si="1"/>
        <v>0</v>
      </c>
      <c r="Q41" s="147">
        <f t="shared" si="4"/>
        <v>5.088719668043261E-19</v>
      </c>
      <c r="R41" s="147">
        <f t="shared" si="7"/>
        <v>5.6773585466782558E-5</v>
      </c>
      <c r="S41" s="156">
        <f t="shared" si="13"/>
        <v>0</v>
      </c>
      <c r="T41" s="156">
        <f t="shared" si="2"/>
        <v>1.6722856674320554E-32</v>
      </c>
      <c r="U41" s="165">
        <f t="shared" si="17"/>
        <v>1.9577098436821355E-4</v>
      </c>
      <c r="W41" s="154">
        <f t="shared" si="0"/>
        <v>0.94020532745988006</v>
      </c>
    </row>
    <row r="42" spans="1:23" x14ac:dyDescent="0.25">
      <c r="A42" s="163"/>
      <c r="B42" s="163"/>
      <c r="C42" s="438"/>
      <c r="D42" s="147" t="s">
        <v>210</v>
      </c>
      <c r="E42" s="166">
        <f t="shared" si="14"/>
        <v>0</v>
      </c>
      <c r="F42" s="167">
        <f t="shared" si="15"/>
        <v>0</v>
      </c>
      <c r="G42" s="168">
        <f t="shared" si="16"/>
        <v>-3.8191672047105385E-14</v>
      </c>
      <c r="H42" s="147">
        <f t="shared" si="18"/>
        <v>5.9794672540119928E-2</v>
      </c>
      <c r="I42" s="164">
        <f t="shared" si="18"/>
        <v>0.16459752684908685</v>
      </c>
      <c r="J42" s="164">
        <f t="shared" si="9"/>
        <v>0</v>
      </c>
      <c r="K42" s="147">
        <f t="shared" si="10"/>
        <v>0</v>
      </c>
      <c r="L42" s="147">
        <f t="shared" si="11"/>
        <v>-6.2862547651849485E-17</v>
      </c>
      <c r="M42" s="147">
        <f t="shared" si="3"/>
        <v>0.13926524089808287</v>
      </c>
      <c r="N42" s="147">
        <f t="shared" si="6"/>
        <v>0.14792565338898386</v>
      </c>
      <c r="O42" s="164">
        <f t="shared" si="12"/>
        <v>0.15728279952805543</v>
      </c>
      <c r="P42" s="147">
        <f t="shared" si="1"/>
        <v>0</v>
      </c>
      <c r="Q42" s="147">
        <f t="shared" si="4"/>
        <v>0</v>
      </c>
      <c r="R42" s="147">
        <f t="shared" si="7"/>
        <v>-5.9120173566498882E-19</v>
      </c>
      <c r="S42" s="156">
        <f t="shared" si="13"/>
        <v>0</v>
      </c>
      <c r="T42" s="156">
        <f t="shared" si="2"/>
        <v>0</v>
      </c>
      <c r="U42" s="165">
        <f t="shared" si="17"/>
        <v>2.2578982802196741E-32</v>
      </c>
      <c r="W42" s="154">
        <f t="shared" si="0"/>
        <v>0.94020532745988006</v>
      </c>
    </row>
    <row r="43" spans="1:23" x14ac:dyDescent="0.25">
      <c r="A43" s="163"/>
      <c r="B43" s="163"/>
      <c r="C43" s="438"/>
      <c r="D43" s="147" t="s">
        <v>211</v>
      </c>
      <c r="E43" s="166">
        <f t="shared" si="14"/>
        <v>0</v>
      </c>
      <c r="F43" s="167">
        <f t="shared" si="15"/>
        <v>0</v>
      </c>
      <c r="G43" s="168">
        <f t="shared" si="16"/>
        <v>0</v>
      </c>
      <c r="H43" s="147">
        <f t="shared" si="18"/>
        <v>5.9794672540119928E-2</v>
      </c>
      <c r="I43" s="164">
        <f t="shared" si="18"/>
        <v>0.16459752684908685</v>
      </c>
      <c r="J43" s="164">
        <f t="shared" si="9"/>
        <v>0</v>
      </c>
      <c r="K43" s="147">
        <f t="shared" si="10"/>
        <v>0</v>
      </c>
      <c r="L43" s="147">
        <f t="shared" si="11"/>
        <v>0</v>
      </c>
      <c r="M43" s="147">
        <f t="shared" si="3"/>
        <v>0.13093792142236108</v>
      </c>
      <c r="N43" s="147">
        <f t="shared" si="6"/>
        <v>0.13908048738430628</v>
      </c>
      <c r="O43" s="164">
        <f t="shared" si="12"/>
        <v>0.14787812603408204</v>
      </c>
      <c r="P43" s="147">
        <f t="shared" si="1"/>
        <v>0</v>
      </c>
      <c r="Q43" s="147">
        <f t="shared" si="4"/>
        <v>0</v>
      </c>
      <c r="R43" s="147">
        <f t="shared" si="7"/>
        <v>0</v>
      </c>
      <c r="S43" s="156">
        <f t="shared" si="13"/>
        <v>0</v>
      </c>
      <c r="T43" s="156">
        <f t="shared" si="2"/>
        <v>0</v>
      </c>
      <c r="U43" s="165">
        <f t="shared" si="17"/>
        <v>0</v>
      </c>
      <c r="W43" s="154">
        <f t="shared" si="0"/>
        <v>0.94020532745988006</v>
      </c>
    </row>
    <row r="44" spans="1:23" x14ac:dyDescent="0.25">
      <c r="A44" s="163"/>
      <c r="B44" s="163"/>
      <c r="C44" s="438"/>
      <c r="D44" s="147" t="s">
        <v>212</v>
      </c>
      <c r="E44" s="166">
        <f t="shared" si="14"/>
        <v>0</v>
      </c>
      <c r="F44" s="167">
        <f t="shared" si="15"/>
        <v>0</v>
      </c>
      <c r="G44" s="168">
        <f t="shared" si="16"/>
        <v>0</v>
      </c>
      <c r="H44" s="147">
        <f t="shared" si="18"/>
        <v>5.9794672540119928E-2</v>
      </c>
      <c r="I44" s="164">
        <f t="shared" si="18"/>
        <v>0.16459752684908685</v>
      </c>
      <c r="J44" s="164">
        <f t="shared" si="9"/>
        <v>0</v>
      </c>
      <c r="K44" s="147">
        <f t="shared" si="10"/>
        <v>0</v>
      </c>
      <c r="L44" s="147">
        <f t="shared" si="11"/>
        <v>0</v>
      </c>
      <c r="M44" s="147">
        <f t="shared" si="3"/>
        <v>0.12310853128782703</v>
      </c>
      <c r="N44" s="147">
        <f t="shared" si="6"/>
        <v>0.1307642151844414</v>
      </c>
      <c r="O44" s="164">
        <f t="shared" si="12"/>
        <v>0.13903580191202752</v>
      </c>
      <c r="P44" s="147">
        <f t="shared" si="1"/>
        <v>0</v>
      </c>
      <c r="Q44" s="147">
        <f t="shared" si="4"/>
        <v>0</v>
      </c>
      <c r="R44" s="147">
        <f t="shared" si="7"/>
        <v>0</v>
      </c>
      <c r="S44" s="156">
        <f t="shared" si="13"/>
        <v>0</v>
      </c>
      <c r="T44" s="156">
        <f t="shared" si="2"/>
        <v>0</v>
      </c>
      <c r="U44" s="165">
        <f t="shared" si="17"/>
        <v>0</v>
      </c>
      <c r="W44" s="154">
        <f t="shared" si="0"/>
        <v>0.94020532745988006</v>
      </c>
    </row>
    <row r="45" spans="1:23" x14ac:dyDescent="0.25">
      <c r="A45" s="163"/>
      <c r="B45" s="163"/>
      <c r="C45" s="438"/>
      <c r="D45" s="147" t="s">
        <v>213</v>
      </c>
      <c r="E45" s="166">
        <f t="shared" si="14"/>
        <v>0</v>
      </c>
      <c r="F45" s="167">
        <f t="shared" si="15"/>
        <v>0</v>
      </c>
      <c r="G45" s="168">
        <f t="shared" si="16"/>
        <v>0</v>
      </c>
      <c r="H45" s="147">
        <f t="shared" si="18"/>
        <v>5.9794672540119928E-2</v>
      </c>
      <c r="I45" s="164">
        <f t="shared" si="18"/>
        <v>0.16459752684908685</v>
      </c>
      <c r="J45" s="164">
        <f t="shared" si="9"/>
        <v>0</v>
      </c>
      <c r="K45" s="147">
        <f t="shared" si="10"/>
        <v>0</v>
      </c>
      <c r="L45" s="147">
        <f t="shared" si="11"/>
        <v>0</v>
      </c>
      <c r="M45" s="147">
        <f t="shared" si="3"/>
        <v>0.11574729697257631</v>
      </c>
      <c r="N45" s="147">
        <f t="shared" si="6"/>
        <v>0.12294521175752195</v>
      </c>
      <c r="O45" s="164">
        <f t="shared" si="12"/>
        <v>0.13072220166534484</v>
      </c>
      <c r="P45" s="147">
        <f t="shared" si="1"/>
        <v>0</v>
      </c>
      <c r="Q45" s="147">
        <f t="shared" si="4"/>
        <v>0</v>
      </c>
      <c r="R45" s="147">
        <f t="shared" si="7"/>
        <v>0</v>
      </c>
      <c r="S45" s="156">
        <f t="shared" si="13"/>
        <v>0</v>
      </c>
      <c r="T45" s="156">
        <f t="shared" si="2"/>
        <v>0</v>
      </c>
      <c r="U45" s="165">
        <f t="shared" si="17"/>
        <v>0</v>
      </c>
      <c r="W45" s="154">
        <f t="shared" si="0"/>
        <v>0.94020532745988006</v>
      </c>
    </row>
    <row r="46" spans="1:23" x14ac:dyDescent="0.25">
      <c r="A46" s="163"/>
      <c r="B46" s="163"/>
      <c r="C46" s="438"/>
      <c r="D46" s="147" t="s">
        <v>214</v>
      </c>
      <c r="E46" s="166">
        <f t="shared" si="14"/>
        <v>0</v>
      </c>
      <c r="F46" s="167">
        <f t="shared" si="15"/>
        <v>0</v>
      </c>
      <c r="G46" s="168">
        <f t="shared" si="16"/>
        <v>0</v>
      </c>
      <c r="H46" s="147">
        <f t="shared" ref="H46:I61" si="19">H45</f>
        <v>5.9794672540119928E-2</v>
      </c>
      <c r="I46" s="164">
        <f t="shared" si="19"/>
        <v>0.16459752684908685</v>
      </c>
      <c r="J46" s="164">
        <f t="shared" si="9"/>
        <v>0</v>
      </c>
      <c r="K46" s="147">
        <f t="shared" si="10"/>
        <v>0</v>
      </c>
      <c r="L46" s="147">
        <f t="shared" si="11"/>
        <v>0</v>
      </c>
      <c r="M46" s="147">
        <f t="shared" si="3"/>
        <v>0.1088262252526971</v>
      </c>
      <c r="N46" s="147">
        <f t="shared" si="6"/>
        <v>0.11559374308010521</v>
      </c>
      <c r="O46" s="164">
        <f t="shared" si="12"/>
        <v>0.12290571042304203</v>
      </c>
      <c r="P46" s="147">
        <f t="shared" si="1"/>
        <v>0</v>
      </c>
      <c r="Q46" s="147">
        <f t="shared" si="4"/>
        <v>0</v>
      </c>
      <c r="R46" s="147">
        <f t="shared" si="7"/>
        <v>0</v>
      </c>
      <c r="S46" s="156">
        <f t="shared" si="13"/>
        <v>0</v>
      </c>
      <c r="T46" s="156">
        <f t="shared" si="2"/>
        <v>0</v>
      </c>
      <c r="U46" s="165">
        <f t="shared" si="17"/>
        <v>0</v>
      </c>
      <c r="W46" s="154">
        <f t="shared" si="0"/>
        <v>0.94020532745988006</v>
      </c>
    </row>
    <row r="47" spans="1:23" x14ac:dyDescent="0.25">
      <c r="A47" s="163"/>
      <c r="B47" s="163"/>
      <c r="C47" s="438"/>
      <c r="D47" s="147" t="s">
        <v>215</v>
      </c>
      <c r="E47" s="166">
        <f t="shared" si="14"/>
        <v>0</v>
      </c>
      <c r="F47" s="167">
        <f t="shared" si="15"/>
        <v>0</v>
      </c>
      <c r="G47" s="168">
        <f t="shared" si="16"/>
        <v>0</v>
      </c>
      <c r="H47" s="147">
        <f t="shared" si="19"/>
        <v>5.9794672540119928E-2</v>
      </c>
      <c r="I47" s="164">
        <f t="shared" si="19"/>
        <v>0.16459752684908685</v>
      </c>
      <c r="J47" s="164">
        <f t="shared" si="9"/>
        <v>0</v>
      </c>
      <c r="K47" s="147">
        <f t="shared" si="10"/>
        <v>0</v>
      </c>
      <c r="L47" s="147">
        <f t="shared" si="11"/>
        <v>0</v>
      </c>
      <c r="M47" s="147">
        <f t="shared" si="3"/>
        <v>0.10231899674993475</v>
      </c>
      <c r="N47" s="147">
        <f t="shared" si="6"/>
        <v>0.10868185306494356</v>
      </c>
      <c r="O47" s="164">
        <f t="shared" si="12"/>
        <v>0.11555660371498543</v>
      </c>
      <c r="P47" s="147">
        <f t="shared" si="1"/>
        <v>0</v>
      </c>
      <c r="Q47" s="147">
        <f t="shared" si="4"/>
        <v>0</v>
      </c>
      <c r="R47" s="147">
        <f t="shared" si="7"/>
        <v>0</v>
      </c>
      <c r="S47" s="156">
        <f t="shared" si="13"/>
        <v>0</v>
      </c>
      <c r="T47" s="156">
        <f t="shared" si="2"/>
        <v>0</v>
      </c>
      <c r="U47" s="165">
        <f t="shared" si="17"/>
        <v>0</v>
      </c>
      <c r="W47" s="154">
        <f t="shared" si="0"/>
        <v>0.94020532745988006</v>
      </c>
    </row>
    <row r="48" spans="1:23" x14ac:dyDescent="0.25">
      <c r="A48" s="163"/>
      <c r="B48" s="163"/>
      <c r="C48" s="438"/>
      <c r="D48" s="147" t="s">
        <v>216</v>
      </c>
      <c r="E48" s="166">
        <f t="shared" si="14"/>
        <v>0</v>
      </c>
      <c r="F48" s="167">
        <f t="shared" si="15"/>
        <v>0</v>
      </c>
      <c r="G48" s="168">
        <f t="shared" si="16"/>
        <v>0</v>
      </c>
      <c r="H48" s="147">
        <f t="shared" si="19"/>
        <v>5.9794672540119928E-2</v>
      </c>
      <c r="I48" s="164">
        <f t="shared" si="19"/>
        <v>0.16459752684908685</v>
      </c>
      <c r="J48" s="164">
        <f t="shared" si="9"/>
        <v>0</v>
      </c>
      <c r="K48" s="147">
        <f t="shared" si="10"/>
        <v>0</v>
      </c>
      <c r="L48" s="147">
        <f t="shared" si="11"/>
        <v>0</v>
      </c>
      <c r="M48" s="147">
        <f t="shared" si="3"/>
        <v>9.62008658446388E-2</v>
      </c>
      <c r="N48" s="147">
        <f t="shared" si="6"/>
        <v>0.10218325724987183</v>
      </c>
      <c r="O48" s="164">
        <f t="shared" si="12"/>
        <v>0.10864693443599946</v>
      </c>
      <c r="P48" s="147">
        <f t="shared" si="1"/>
        <v>0</v>
      </c>
      <c r="Q48" s="147">
        <f t="shared" si="4"/>
        <v>0</v>
      </c>
      <c r="R48" s="147">
        <f t="shared" si="7"/>
        <v>0</v>
      </c>
      <c r="S48" s="156">
        <f t="shared" si="13"/>
        <v>0</v>
      </c>
      <c r="T48" s="156">
        <f t="shared" si="2"/>
        <v>0</v>
      </c>
      <c r="U48" s="165">
        <f t="shared" si="17"/>
        <v>0</v>
      </c>
      <c r="W48" s="154">
        <f t="shared" si="0"/>
        <v>0.94020532745988006</v>
      </c>
    </row>
    <row r="49" spans="1:23" x14ac:dyDescent="0.25">
      <c r="A49" s="163"/>
      <c r="B49" s="163"/>
      <c r="C49" s="438"/>
      <c r="D49" s="147" t="s">
        <v>217</v>
      </c>
      <c r="E49" s="166">
        <f t="shared" si="14"/>
        <v>0</v>
      </c>
      <c r="F49" s="167">
        <f t="shared" si="15"/>
        <v>0</v>
      </c>
      <c r="G49" s="168">
        <f t="shared" si="16"/>
        <v>0</v>
      </c>
      <c r="H49" s="147">
        <f t="shared" si="19"/>
        <v>5.9794672540119928E-2</v>
      </c>
      <c r="I49" s="164">
        <f t="shared" si="19"/>
        <v>0.16459752684908685</v>
      </c>
      <c r="J49" s="164">
        <f t="shared" si="9"/>
        <v>0</v>
      </c>
      <c r="K49" s="147">
        <f t="shared" si="10"/>
        <v>0</v>
      </c>
      <c r="L49" s="147">
        <f t="shared" si="11"/>
        <v>0</v>
      </c>
      <c r="M49" s="147">
        <f t="shared" si="3"/>
        <v>9.0448566573382613E-2</v>
      </c>
      <c r="N49" s="147">
        <f t="shared" si="6"/>
        <v>9.6073242843532913E-2</v>
      </c>
      <c r="O49" s="164">
        <f t="shared" si="12"/>
        <v>0.10215042656891099</v>
      </c>
      <c r="P49" s="147">
        <f t="shared" si="1"/>
        <v>0</v>
      </c>
      <c r="Q49" s="147">
        <f t="shared" si="4"/>
        <v>0</v>
      </c>
      <c r="R49" s="147">
        <f t="shared" si="7"/>
        <v>0</v>
      </c>
      <c r="S49" s="156">
        <f t="shared" si="13"/>
        <v>0</v>
      </c>
      <c r="T49" s="156">
        <f t="shared" si="2"/>
        <v>0</v>
      </c>
      <c r="U49" s="165">
        <f t="shared" si="17"/>
        <v>0</v>
      </c>
      <c r="W49" s="154">
        <f t="shared" si="0"/>
        <v>0.94020532745988006</v>
      </c>
    </row>
    <row r="50" spans="1:23" x14ac:dyDescent="0.25">
      <c r="A50" s="163"/>
      <c r="B50" s="163"/>
      <c r="C50" s="438"/>
      <c r="D50" s="147" t="s">
        <v>218</v>
      </c>
      <c r="E50" s="166">
        <f t="shared" si="14"/>
        <v>0</v>
      </c>
      <c r="F50" s="167">
        <f t="shared" si="15"/>
        <v>0</v>
      </c>
      <c r="G50" s="168">
        <f t="shared" si="16"/>
        <v>0</v>
      </c>
      <c r="H50" s="147">
        <f t="shared" si="19"/>
        <v>5.9794672540119928E-2</v>
      </c>
      <c r="I50" s="164">
        <f t="shared" si="19"/>
        <v>0.16459752684908685</v>
      </c>
      <c r="J50" s="164">
        <f t="shared" si="9"/>
        <v>0</v>
      </c>
      <c r="K50" s="147">
        <f t="shared" si="10"/>
        <v>0</v>
      </c>
      <c r="L50" s="147">
        <f t="shared" si="11"/>
        <v>0</v>
      </c>
      <c r="M50" s="147">
        <f t="shared" si="3"/>
        <v>8.5040224153403968E-2</v>
      </c>
      <c r="N50" s="147">
        <f t="shared" si="6"/>
        <v>9.032857474783644E-2</v>
      </c>
      <c r="O50" s="164">
        <f t="shared" si="12"/>
        <v>9.6042375262389387E-2</v>
      </c>
      <c r="P50" s="147">
        <f t="shared" si="1"/>
        <v>0</v>
      </c>
      <c r="Q50" s="147">
        <f t="shared" si="4"/>
        <v>0</v>
      </c>
      <c r="R50" s="147">
        <f t="shared" si="7"/>
        <v>0</v>
      </c>
      <c r="S50" s="156">
        <f t="shared" si="13"/>
        <v>0</v>
      </c>
      <c r="T50" s="156">
        <f t="shared" si="2"/>
        <v>0</v>
      </c>
      <c r="U50" s="165">
        <f t="shared" si="17"/>
        <v>0</v>
      </c>
      <c r="W50" s="154">
        <f t="shared" si="0"/>
        <v>0.94020532745988006</v>
      </c>
    </row>
    <row r="51" spans="1:23" x14ac:dyDescent="0.25">
      <c r="A51" s="163"/>
      <c r="B51" s="163"/>
      <c r="C51" s="438"/>
      <c r="D51" s="147" t="s">
        <v>219</v>
      </c>
      <c r="E51" s="166">
        <f t="shared" si="14"/>
        <v>0</v>
      </c>
      <c r="F51" s="167">
        <f t="shared" si="15"/>
        <v>0</v>
      </c>
      <c r="G51" s="168">
        <f t="shared" si="16"/>
        <v>0</v>
      </c>
      <c r="H51" s="147">
        <f t="shared" si="19"/>
        <v>5.9794672540119928E-2</v>
      </c>
      <c r="I51" s="164">
        <f t="shared" si="19"/>
        <v>0.16459752684908685</v>
      </c>
      <c r="J51" s="164">
        <f t="shared" si="9"/>
        <v>0</v>
      </c>
      <c r="K51" s="147">
        <f t="shared" si="10"/>
        <v>0</v>
      </c>
      <c r="L51" s="147">
        <f t="shared" si="11"/>
        <v>0</v>
      </c>
      <c r="M51" s="147">
        <f t="shared" si="3"/>
        <v>7.9955271797412783E-2</v>
      </c>
      <c r="N51" s="147">
        <f t="shared" si="6"/>
        <v>8.4927407199773819E-2</v>
      </c>
      <c r="O51" s="164">
        <f t="shared" si="12"/>
        <v>9.0299552883599504E-2</v>
      </c>
      <c r="P51" s="147">
        <f t="shared" si="1"/>
        <v>0</v>
      </c>
      <c r="Q51" s="147">
        <f t="shared" si="4"/>
        <v>0</v>
      </c>
      <c r="R51" s="147">
        <f t="shared" si="7"/>
        <v>0</v>
      </c>
      <c r="S51" s="156">
        <f t="shared" si="13"/>
        <v>0</v>
      </c>
      <c r="T51" s="156">
        <f t="shared" si="2"/>
        <v>0</v>
      </c>
      <c r="U51" s="165">
        <f t="shared" si="17"/>
        <v>0</v>
      </c>
      <c r="W51" s="154">
        <f t="shared" si="0"/>
        <v>0.94020532745988006</v>
      </c>
    </row>
    <row r="52" spans="1:23" x14ac:dyDescent="0.25">
      <c r="A52" s="163"/>
      <c r="B52" s="163"/>
      <c r="C52" s="438"/>
      <c r="D52" s="147" t="s">
        <v>220</v>
      </c>
      <c r="E52" s="166">
        <f t="shared" si="14"/>
        <v>0</v>
      </c>
      <c r="F52" s="167">
        <f t="shared" si="15"/>
        <v>0</v>
      </c>
      <c r="G52" s="168">
        <f t="shared" si="16"/>
        <v>0</v>
      </c>
      <c r="H52" s="147">
        <f t="shared" si="19"/>
        <v>5.9794672540119928E-2</v>
      </c>
      <c r="I52" s="164">
        <f t="shared" si="19"/>
        <v>0.16459752684908685</v>
      </c>
      <c r="J52" s="164">
        <f t="shared" si="9"/>
        <v>0</v>
      </c>
      <c r="K52" s="147">
        <f t="shared" si="10"/>
        <v>0</v>
      </c>
      <c r="L52" s="147">
        <f t="shared" si="11"/>
        <v>0</v>
      </c>
      <c r="M52" s="147">
        <f t="shared" si="3"/>
        <v>7.5174372502430198E-2</v>
      </c>
      <c r="N52" s="147">
        <f t="shared" si="6"/>
        <v>7.9849200696581912E-2</v>
      </c>
      <c r="O52" s="164">
        <f t="shared" si="12"/>
        <v>8.4900120688405425E-2</v>
      </c>
      <c r="P52" s="147">
        <f t="shared" si="1"/>
        <v>0</v>
      </c>
      <c r="Q52" s="147">
        <f t="shared" si="4"/>
        <v>0</v>
      </c>
      <c r="R52" s="147">
        <f t="shared" si="7"/>
        <v>0</v>
      </c>
      <c r="S52" s="156">
        <f t="shared" si="13"/>
        <v>0</v>
      </c>
      <c r="T52" s="156">
        <f t="shared" si="2"/>
        <v>0</v>
      </c>
      <c r="U52" s="165">
        <f t="shared" si="17"/>
        <v>0</v>
      </c>
      <c r="W52" s="154">
        <f t="shared" si="0"/>
        <v>0.94020532745988006</v>
      </c>
    </row>
    <row r="53" spans="1:23" x14ac:dyDescent="0.25">
      <c r="A53" s="163"/>
      <c r="B53" s="163"/>
      <c r="C53" s="438"/>
      <c r="D53" s="147" t="s">
        <v>221</v>
      </c>
      <c r="E53" s="166">
        <f t="shared" si="14"/>
        <v>0</v>
      </c>
      <c r="F53" s="167">
        <f t="shared" si="15"/>
        <v>0</v>
      </c>
      <c r="G53" s="168">
        <f t="shared" si="16"/>
        <v>0</v>
      </c>
      <c r="H53" s="147">
        <f t="shared" si="19"/>
        <v>5.9794672540119928E-2</v>
      </c>
      <c r="I53" s="164">
        <f t="shared" si="19"/>
        <v>0.16459752684908685</v>
      </c>
      <c r="J53" s="164">
        <f t="shared" si="9"/>
        <v>0</v>
      </c>
      <c r="K53" s="147">
        <f t="shared" si="10"/>
        <v>0</v>
      </c>
      <c r="L53" s="147">
        <f t="shared" si="11"/>
        <v>0</v>
      </c>
      <c r="M53" s="147">
        <f t="shared" si="3"/>
        <v>7.0679345515238384E-2</v>
      </c>
      <c r="N53" s="147">
        <f t="shared" si="6"/>
        <v>7.5074643888339482E-2</v>
      </c>
      <c r="O53" s="164">
        <f t="shared" si="12"/>
        <v>7.9823545773225563E-2</v>
      </c>
      <c r="P53" s="147">
        <f t="shared" si="1"/>
        <v>0</v>
      </c>
      <c r="Q53" s="147">
        <f t="shared" si="4"/>
        <v>0</v>
      </c>
      <c r="R53" s="147">
        <f t="shared" si="7"/>
        <v>0</v>
      </c>
      <c r="S53" s="156">
        <f t="shared" si="13"/>
        <v>0</v>
      </c>
      <c r="T53" s="156">
        <f t="shared" si="2"/>
        <v>0</v>
      </c>
      <c r="U53" s="165">
        <f t="shared" si="17"/>
        <v>0</v>
      </c>
      <c r="W53" s="154">
        <f t="shared" si="0"/>
        <v>0.94020532745988006</v>
      </c>
    </row>
    <row r="54" spans="1:23" x14ac:dyDescent="0.25">
      <c r="A54" s="163"/>
      <c r="B54" s="163"/>
      <c r="C54" s="438"/>
      <c r="D54" s="147" t="s">
        <v>222</v>
      </c>
      <c r="E54" s="166">
        <f t="shared" si="14"/>
        <v>0</v>
      </c>
      <c r="F54" s="167">
        <f t="shared" si="15"/>
        <v>0</v>
      </c>
      <c r="G54" s="168">
        <f t="shared" si="16"/>
        <v>0</v>
      </c>
      <c r="H54" s="147">
        <f t="shared" si="19"/>
        <v>5.9794672540119928E-2</v>
      </c>
      <c r="I54" s="164">
        <f t="shared" si="19"/>
        <v>0.16459752684908685</v>
      </c>
      <c r="J54" s="164">
        <f t="shared" si="9"/>
        <v>0</v>
      </c>
      <c r="K54" s="147">
        <f t="shared" si="10"/>
        <v>0</v>
      </c>
      <c r="L54" s="147">
        <f t="shared" si="11"/>
        <v>0</v>
      </c>
      <c r="M54" s="147">
        <f t="shared" si="3"/>
        <v>6.6453097194804717E-2</v>
      </c>
      <c r="N54" s="147">
        <f t="shared" si="6"/>
        <v>7.0585580140970106E-2</v>
      </c>
      <c r="O54" s="164">
        <f t="shared" si="12"/>
        <v>7.5050522992724258E-2</v>
      </c>
      <c r="P54" s="147">
        <f t="shared" si="1"/>
        <v>0</v>
      </c>
      <c r="Q54" s="147">
        <f t="shared" si="4"/>
        <v>0</v>
      </c>
      <c r="R54" s="147">
        <f t="shared" si="7"/>
        <v>0</v>
      </c>
      <c r="S54" s="156">
        <f t="shared" si="13"/>
        <v>0</v>
      </c>
      <c r="T54" s="156">
        <f t="shared" si="2"/>
        <v>0</v>
      </c>
      <c r="U54" s="165">
        <f t="shared" si="17"/>
        <v>0</v>
      </c>
      <c r="W54" s="154">
        <f t="shared" si="0"/>
        <v>0.94020532745988006</v>
      </c>
    </row>
    <row r="55" spans="1:23" x14ac:dyDescent="0.25">
      <c r="A55" s="163"/>
      <c r="B55" s="163"/>
      <c r="C55" s="438"/>
      <c r="D55" s="147" t="s">
        <v>223</v>
      </c>
      <c r="E55" s="166">
        <f t="shared" si="14"/>
        <v>0</v>
      </c>
      <c r="F55" s="167">
        <f t="shared" si="15"/>
        <v>0</v>
      </c>
      <c r="G55" s="168">
        <f t="shared" si="16"/>
        <v>0</v>
      </c>
      <c r="H55" s="147">
        <f t="shared" si="19"/>
        <v>5.9794672540119928E-2</v>
      </c>
      <c r="I55" s="164">
        <f t="shared" si="19"/>
        <v>0.16459752684908685</v>
      </c>
      <c r="J55" s="164">
        <f t="shared" si="9"/>
        <v>0</v>
      </c>
      <c r="K55" s="147">
        <f t="shared" si="10"/>
        <v>0</v>
      </c>
      <c r="L55" s="147">
        <f t="shared" si="11"/>
        <v>0</v>
      </c>
      <c r="M55" s="147">
        <f t="shared" si="3"/>
        <v>6.2479556008764606E-2</v>
      </c>
      <c r="N55" s="147">
        <f t="shared" si="6"/>
        <v>6.636493849038641E-2</v>
      </c>
      <c r="O55" s="164">
        <f t="shared" si="12"/>
        <v>7.0562901546409568E-2</v>
      </c>
      <c r="P55" s="147">
        <f t="shared" si="1"/>
        <v>0</v>
      </c>
      <c r="Q55" s="147">
        <f t="shared" si="4"/>
        <v>0</v>
      </c>
      <c r="R55" s="147">
        <f t="shared" si="7"/>
        <v>0</v>
      </c>
      <c r="S55" s="156">
        <f t="shared" si="13"/>
        <v>0</v>
      </c>
      <c r="T55" s="156">
        <f t="shared" si="2"/>
        <v>0</v>
      </c>
      <c r="U55" s="165">
        <f t="shared" si="17"/>
        <v>0</v>
      </c>
      <c r="W55" s="154">
        <f t="shared" si="0"/>
        <v>0.94020532745988006</v>
      </c>
    </row>
    <row r="56" spans="1:23" x14ac:dyDescent="0.25">
      <c r="A56" s="163"/>
      <c r="B56" s="163"/>
      <c r="C56" s="438"/>
      <c r="D56" s="147" t="s">
        <v>224</v>
      </c>
      <c r="E56" s="166">
        <f t="shared" si="14"/>
        <v>0</v>
      </c>
      <c r="F56" s="167">
        <f t="shared" si="15"/>
        <v>0</v>
      </c>
      <c r="G56" s="168">
        <f t="shared" si="16"/>
        <v>0</v>
      </c>
      <c r="H56" s="147">
        <f t="shared" si="19"/>
        <v>5.9794672540119928E-2</v>
      </c>
      <c r="I56" s="164">
        <f t="shared" si="19"/>
        <v>0.16459752684908685</v>
      </c>
      <c r="J56" s="164">
        <f t="shared" si="9"/>
        <v>0</v>
      </c>
      <c r="K56" s="147">
        <f t="shared" si="10"/>
        <v>0</v>
      </c>
      <c r="L56" s="147">
        <f t="shared" si="11"/>
        <v>0</v>
      </c>
      <c r="M56" s="147">
        <f t="shared" si="3"/>
        <v>5.874361141676844E-2</v>
      </c>
      <c r="N56" s="147">
        <f t="shared" si="6"/>
        <v>6.2396668725208555E-2</v>
      </c>
      <c r="O56" s="164">
        <f t="shared" si="12"/>
        <v>6.6343615954961285E-2</v>
      </c>
      <c r="P56" s="147">
        <f t="shared" si="1"/>
        <v>0</v>
      </c>
      <c r="Q56" s="147">
        <f t="shared" si="4"/>
        <v>0</v>
      </c>
      <c r="R56" s="147">
        <f t="shared" si="7"/>
        <v>0</v>
      </c>
      <c r="S56" s="156">
        <f t="shared" si="13"/>
        <v>0</v>
      </c>
      <c r="T56" s="156">
        <f t="shared" si="2"/>
        <v>0</v>
      </c>
      <c r="U56" s="165">
        <f t="shared" si="17"/>
        <v>0</v>
      </c>
      <c r="W56" s="154">
        <f t="shared" si="0"/>
        <v>0.94020532745988006</v>
      </c>
    </row>
    <row r="57" spans="1:23" x14ac:dyDescent="0.25">
      <c r="A57" s="163"/>
      <c r="B57" s="163"/>
      <c r="C57" s="438"/>
      <c r="D57" s="147" t="s">
        <v>225</v>
      </c>
      <c r="E57" s="166">
        <f t="shared" si="14"/>
        <v>0</v>
      </c>
      <c r="F57" s="167">
        <f t="shared" si="15"/>
        <v>0</v>
      </c>
      <c r="G57" s="168">
        <f t="shared" si="16"/>
        <v>0</v>
      </c>
      <c r="H57" s="147">
        <f t="shared" si="19"/>
        <v>5.9794672540119928E-2</v>
      </c>
      <c r="I57" s="164">
        <f t="shared" si="19"/>
        <v>0.16459752684908685</v>
      </c>
      <c r="J57" s="164">
        <f t="shared" si="9"/>
        <v>0</v>
      </c>
      <c r="K57" s="147">
        <f t="shared" si="10"/>
        <v>0</v>
      </c>
      <c r="L57" s="147">
        <f t="shared" si="11"/>
        <v>0</v>
      </c>
      <c r="M57" s="147">
        <f t="shared" si="3"/>
        <v>5.5231056408278717E-2</v>
      </c>
      <c r="N57" s="147">
        <f t="shared" si="6"/>
        <v>5.8665680351190366E-2</v>
      </c>
      <c r="O57" s="164">
        <f t="shared" si="12"/>
        <v>6.2376621163806899E-2</v>
      </c>
      <c r="P57" s="147">
        <f t="shared" si="1"/>
        <v>0</v>
      </c>
      <c r="Q57" s="147">
        <f t="shared" si="4"/>
        <v>0</v>
      </c>
      <c r="R57" s="147">
        <f t="shared" si="7"/>
        <v>0</v>
      </c>
      <c r="S57" s="156">
        <f t="shared" si="13"/>
        <v>0</v>
      </c>
      <c r="T57" s="156">
        <f t="shared" si="2"/>
        <v>0</v>
      </c>
      <c r="U57" s="165">
        <f t="shared" si="17"/>
        <v>0</v>
      </c>
      <c r="W57" s="154">
        <f t="shared" si="0"/>
        <v>0.94020532745988006</v>
      </c>
    </row>
    <row r="58" spans="1:23" x14ac:dyDescent="0.25">
      <c r="A58" s="163"/>
      <c r="B58" s="163"/>
      <c r="C58" s="438"/>
      <c r="D58" s="147" t="s">
        <v>226</v>
      </c>
      <c r="E58" s="166">
        <f t="shared" si="14"/>
        <v>0</v>
      </c>
      <c r="F58" s="167">
        <f t="shared" si="15"/>
        <v>0</v>
      </c>
      <c r="G58" s="168">
        <f t="shared" si="16"/>
        <v>0</v>
      </c>
      <c r="H58" s="147">
        <f t="shared" si="19"/>
        <v>5.9794672540119928E-2</v>
      </c>
      <c r="I58" s="164">
        <f t="shared" si="19"/>
        <v>0.16459752684908685</v>
      </c>
      <c r="J58" s="164">
        <f t="shared" si="9"/>
        <v>0</v>
      </c>
      <c r="K58" s="147">
        <f t="shared" si="10"/>
        <v>0</v>
      </c>
      <c r="L58" s="147">
        <f t="shared" si="11"/>
        <v>0</v>
      </c>
      <c r="M58" s="147">
        <f t="shared" si="3"/>
        <v>5.1928533476300796E-2</v>
      </c>
      <c r="N58" s="147">
        <f t="shared" si="6"/>
        <v>5.5157785205247591E-2</v>
      </c>
      <c r="O58" s="164">
        <f t="shared" si="12"/>
        <v>5.8646831527157953E-2</v>
      </c>
      <c r="P58" s="147">
        <f t="shared" si="1"/>
        <v>0</v>
      </c>
      <c r="Q58" s="147">
        <f t="shared" si="4"/>
        <v>0</v>
      </c>
      <c r="R58" s="147">
        <f t="shared" si="7"/>
        <v>0</v>
      </c>
      <c r="S58" s="156">
        <f t="shared" si="13"/>
        <v>0</v>
      </c>
      <c r="T58" s="156">
        <f t="shared" si="2"/>
        <v>0</v>
      </c>
      <c r="U58" s="165">
        <f t="shared" si="17"/>
        <v>0</v>
      </c>
      <c r="W58" s="154">
        <f t="shared" si="0"/>
        <v>0.94020532745988006</v>
      </c>
    </row>
    <row r="59" spans="1:23" x14ac:dyDescent="0.25">
      <c r="A59" s="163"/>
      <c r="B59" s="163"/>
      <c r="C59" s="438"/>
      <c r="D59" s="147" t="s">
        <v>227</v>
      </c>
      <c r="E59" s="166">
        <f t="shared" si="14"/>
        <v>0</v>
      </c>
      <c r="F59" s="167">
        <f t="shared" si="15"/>
        <v>0</v>
      </c>
      <c r="G59" s="168">
        <f t="shared" si="16"/>
        <v>0</v>
      </c>
      <c r="H59" s="147">
        <f t="shared" si="19"/>
        <v>5.9794672540119928E-2</v>
      </c>
      <c r="I59" s="164">
        <f t="shared" si="19"/>
        <v>0.16459752684908685</v>
      </c>
      <c r="J59" s="147">
        <f t="shared" si="9"/>
        <v>0</v>
      </c>
      <c r="K59" s="147">
        <f t="shared" si="10"/>
        <v>0</v>
      </c>
      <c r="L59" s="147">
        <f t="shared" si="11"/>
        <v>0</v>
      </c>
      <c r="M59" s="147">
        <f t="shared" si="3"/>
        <v>4.8823483821596736E-2</v>
      </c>
      <c r="N59" s="147">
        <f t="shared" si="6"/>
        <v>5.1859643500861537E-2</v>
      </c>
      <c r="O59" s="164">
        <f t="shared" si="12"/>
        <v>5.5140063440475957E-2</v>
      </c>
      <c r="P59" s="147">
        <f t="shared" si="1"/>
        <v>0</v>
      </c>
      <c r="Q59" s="147">
        <f t="shared" si="4"/>
        <v>0</v>
      </c>
      <c r="R59" s="147">
        <f t="shared" si="7"/>
        <v>0</v>
      </c>
      <c r="S59" s="156">
        <f t="shared" si="13"/>
        <v>0</v>
      </c>
      <c r="T59" s="156">
        <f t="shared" si="2"/>
        <v>0</v>
      </c>
      <c r="U59" s="165">
        <f t="shared" si="17"/>
        <v>0</v>
      </c>
      <c r="W59" s="154">
        <f t="shared" si="0"/>
        <v>0.94020532745988006</v>
      </c>
    </row>
    <row r="60" spans="1:23" x14ac:dyDescent="0.25">
      <c r="A60" s="163"/>
      <c r="B60" s="163"/>
      <c r="C60" s="438"/>
      <c r="D60" s="147" t="s">
        <v>228</v>
      </c>
      <c r="E60" s="166">
        <f t="shared" si="14"/>
        <v>0</v>
      </c>
      <c r="F60" s="167">
        <f t="shared" si="15"/>
        <v>0</v>
      </c>
      <c r="G60" s="168">
        <f t="shared" si="16"/>
        <v>0</v>
      </c>
      <c r="H60" s="147">
        <f t="shared" si="19"/>
        <v>5.9794672540119928E-2</v>
      </c>
      <c r="I60" s="164">
        <f t="shared" si="19"/>
        <v>0.16459752684908685</v>
      </c>
      <c r="J60" s="147">
        <f t="shared" si="9"/>
        <v>0</v>
      </c>
      <c r="K60" s="147">
        <f t="shared" si="10"/>
        <v>0</v>
      </c>
      <c r="L60" s="147">
        <f t="shared" si="11"/>
        <v>0</v>
      </c>
      <c r="M60" s="147">
        <f t="shared" si="3"/>
        <v>4.5904099594216513E-2</v>
      </c>
      <c r="N60" s="147">
        <f t="shared" si="6"/>
        <v>4.8758713099680162E-2</v>
      </c>
      <c r="O60" s="164">
        <f t="shared" si="12"/>
        <v>5.1842981403211259E-2</v>
      </c>
      <c r="P60" s="147">
        <f t="shared" si="1"/>
        <v>0</v>
      </c>
      <c r="Q60" s="147">
        <f t="shared" si="4"/>
        <v>0</v>
      </c>
      <c r="R60" s="147">
        <f t="shared" si="7"/>
        <v>0</v>
      </c>
      <c r="S60" s="156">
        <f t="shared" si="13"/>
        <v>0</v>
      </c>
      <c r="T60" s="156">
        <f t="shared" si="2"/>
        <v>0</v>
      </c>
      <c r="U60" s="165">
        <f t="shared" si="17"/>
        <v>0</v>
      </c>
      <c r="W60" s="154">
        <f t="shared" si="0"/>
        <v>0.94020532745988006</v>
      </c>
    </row>
    <row r="61" spans="1:23" x14ac:dyDescent="0.25">
      <c r="A61" s="163"/>
      <c r="B61" s="163"/>
      <c r="C61" s="426"/>
      <c r="D61" s="157" t="s">
        <v>229</v>
      </c>
      <c r="E61" s="169">
        <f t="shared" si="14"/>
        <v>0</v>
      </c>
      <c r="F61" s="170">
        <f t="shared" si="15"/>
        <v>0</v>
      </c>
      <c r="G61" s="171">
        <f t="shared" si="16"/>
        <v>0</v>
      </c>
      <c r="H61" s="157">
        <f t="shared" si="19"/>
        <v>5.9794672540119928E-2</v>
      </c>
      <c r="I61" s="172">
        <f t="shared" si="19"/>
        <v>0.16459752684908685</v>
      </c>
      <c r="J61" s="157">
        <f t="shared" si="9"/>
        <v>0</v>
      </c>
      <c r="K61" s="157">
        <f t="shared" si="10"/>
        <v>0</v>
      </c>
      <c r="L61" s="157">
        <f t="shared" si="11"/>
        <v>0</v>
      </c>
      <c r="M61" s="157">
        <f t="shared" si="3"/>
        <v>4.3159278990731284E-2</v>
      </c>
      <c r="N61" s="157">
        <f t="shared" si="6"/>
        <v>4.5843201816407129E-2</v>
      </c>
      <c r="O61" s="172">
        <f t="shared" si="12"/>
        <v>4.8743047306702716E-2</v>
      </c>
      <c r="P61" s="157">
        <f t="shared" si="1"/>
        <v>0</v>
      </c>
      <c r="Q61" s="157">
        <f t="shared" si="4"/>
        <v>0</v>
      </c>
      <c r="R61" s="157">
        <f t="shared" si="7"/>
        <v>0</v>
      </c>
      <c r="S61" s="173">
        <f t="shared" si="13"/>
        <v>0</v>
      </c>
      <c r="T61" s="173">
        <f t="shared" si="2"/>
        <v>0</v>
      </c>
      <c r="U61" s="174">
        <f t="shared" si="17"/>
        <v>0</v>
      </c>
      <c r="W61" s="182">
        <f t="shared" si="0"/>
        <v>0.94020532745988006</v>
      </c>
    </row>
    <row r="62" spans="1:23" x14ac:dyDescent="0.25">
      <c r="V62" s="114"/>
    </row>
    <row r="63" spans="1:23" x14ac:dyDescent="0.25">
      <c r="P63" s="138" t="s">
        <v>230</v>
      </c>
      <c r="Q63" s="138" t="s">
        <v>230</v>
      </c>
      <c r="R63" s="138" t="s">
        <v>230</v>
      </c>
      <c r="S63" s="183" t="s">
        <v>231</v>
      </c>
      <c r="T63" s="122" t="s">
        <v>231</v>
      </c>
      <c r="U63" s="122" t="s">
        <v>231</v>
      </c>
    </row>
    <row r="64" spans="1:23" x14ac:dyDescent="0.25">
      <c r="O64" s="184" t="s">
        <v>11</v>
      </c>
      <c r="P64" s="185">
        <f>S64/$E$9</f>
        <v>8.2750224976125206E-2</v>
      </c>
      <c r="Q64" s="186"/>
      <c r="R64" s="186"/>
      <c r="S64" s="187">
        <f>SUM(S10:S59)</f>
        <v>8.27502249761252</v>
      </c>
      <c r="T64" s="114"/>
      <c r="U64" s="114"/>
      <c r="V64" s="145"/>
    </row>
    <row r="65" spans="15:21" x14ac:dyDescent="0.25">
      <c r="O65" s="184" t="s">
        <v>12</v>
      </c>
      <c r="P65" s="185"/>
      <c r="Q65" s="185">
        <f>T65/$E$9</f>
        <v>7.8992886549910699E-2</v>
      </c>
      <c r="R65" s="186"/>
      <c r="S65" s="145"/>
      <c r="T65" s="187">
        <f>SUM(T11:T59)</f>
        <v>7.8992886549910697</v>
      </c>
    </row>
    <row r="66" spans="15:21" x14ac:dyDescent="0.25">
      <c r="O66" s="188" t="s">
        <v>13</v>
      </c>
      <c r="P66" s="185"/>
      <c r="Q66" s="186"/>
      <c r="R66" s="185">
        <f>U66/$E$9</f>
        <v>7.4958901218292823E-2</v>
      </c>
      <c r="S66" s="145"/>
      <c r="T66" s="145"/>
      <c r="U66" s="187">
        <f>SUM(U12:U59)</f>
        <v>7.4958901218292828</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6"/>
  <sheetViews>
    <sheetView zoomScale="70" zoomScaleNormal="70" workbookViewId="0"/>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246</v>
      </c>
      <c r="K1" s="114" t="s">
        <v>247</v>
      </c>
    </row>
    <row r="2" spans="1:27" x14ac:dyDescent="0.25">
      <c r="B2" s="114" t="s">
        <v>157</v>
      </c>
      <c r="C2" s="115" t="s">
        <v>158</v>
      </c>
      <c r="D2" s="116">
        <f>'CR Path Generator'!$D$79</f>
        <v>30</v>
      </c>
      <c r="F2" s="114" t="s">
        <v>159</v>
      </c>
      <c r="G2" s="117" t="s">
        <v>160</v>
      </c>
      <c r="I2" s="114" t="s">
        <v>11</v>
      </c>
      <c r="J2" s="249">
        <f>'CR Path Generator'!O61</f>
        <v>0.12466192885389298</v>
      </c>
      <c r="K2" s="249">
        <f>'CR Path Generator'!G35</f>
        <v>0.32035892298340057</v>
      </c>
    </row>
    <row r="3" spans="1:27" x14ac:dyDescent="0.25">
      <c r="C3" s="115" t="s">
        <v>161</v>
      </c>
      <c r="D3" s="115"/>
      <c r="I3" s="114" t="s">
        <v>12</v>
      </c>
      <c r="J3" s="249">
        <f>'CR Path Generator'!O67</f>
        <v>0.15278304430927062</v>
      </c>
      <c r="K3" s="249">
        <f>'CR Path Generator'!H35</f>
        <v>0.32035892298340057</v>
      </c>
    </row>
    <row r="4" spans="1:27" x14ac:dyDescent="0.25">
      <c r="C4" s="115" t="s">
        <v>162</v>
      </c>
      <c r="D4" s="115"/>
      <c r="I4" s="114" t="s">
        <v>13</v>
      </c>
      <c r="J4" s="249">
        <f>'CR Path Generator'!O73</f>
        <v>0.16197048631508851</v>
      </c>
      <c r="K4" s="249">
        <f>'CR Path Generator'!I35</f>
        <v>0.32035892298340057</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adverse S12'!J2</f>
        <v>0.12466192885389298</v>
      </c>
      <c r="I10" s="150">
        <f>'Processor LT adverse S12'!K2</f>
        <v>0.32035892298340057</v>
      </c>
      <c r="J10" s="150">
        <f>I10*E10/100</f>
        <v>0.32035892298340057</v>
      </c>
      <c r="K10" s="150"/>
      <c r="L10" s="150"/>
      <c r="M10" s="151">
        <v>1</v>
      </c>
      <c r="N10" s="152"/>
      <c r="O10" s="152"/>
      <c r="P10" s="152">
        <f>H10*J10*M10</f>
        <v>3.9936561264666465E-2</v>
      </c>
      <c r="Q10" s="152"/>
      <c r="R10" s="152"/>
      <c r="S10" s="153">
        <f>P10*$E10</f>
        <v>3.9936561264666466</v>
      </c>
      <c r="T10" s="144"/>
      <c r="U10" s="144"/>
      <c r="W10" s="154">
        <f t="shared" ref="W10:W61" si="0">1-H10</f>
        <v>0.87533807114610707</v>
      </c>
    </row>
    <row r="11" spans="1:27" x14ac:dyDescent="0.25">
      <c r="C11" s="438"/>
      <c r="D11" s="147" t="s">
        <v>12</v>
      </c>
      <c r="E11" s="148">
        <f>IF($D$2&gt;1,100,0)</f>
        <v>100</v>
      </c>
      <c r="F11" s="148">
        <v>100</v>
      </c>
      <c r="G11" s="148">
        <v>100</v>
      </c>
      <c r="H11" s="149">
        <f>'Processor LT adverse S12'!J3</f>
        <v>0.15278304430927062</v>
      </c>
      <c r="I11" s="150">
        <f>'Processor LT adverse S12'!K3</f>
        <v>0.32035892298340057</v>
      </c>
      <c r="J11" s="150">
        <f>I11*E11/100</f>
        <v>0.32035892298340057</v>
      </c>
      <c r="K11" s="150">
        <f>I11*F11/100</f>
        <v>0.32035892298340057</v>
      </c>
      <c r="L11" s="150"/>
      <c r="M11" s="360">
        <f>M10*W10</f>
        <v>0.87533807114610707</v>
      </c>
      <c r="N11" s="151">
        <v>1</v>
      </c>
      <c r="O11" s="155"/>
      <c r="P11" s="152">
        <f t="shared" ref="P11:P59" si="1">H11*J11*M11</f>
        <v>4.2843782115783664E-2</v>
      </c>
      <c r="Q11" s="152">
        <f>N11*K11*H11</f>
        <v>4.89454115250431E-2</v>
      </c>
      <c r="R11" s="152"/>
      <c r="S11" s="156">
        <f>P11*$E11</f>
        <v>4.2843782115783666</v>
      </c>
      <c r="T11" s="153">
        <f t="shared" ref="T11:T59" si="2">Q11*$F11</f>
        <v>4.8945411525043099</v>
      </c>
      <c r="U11" s="144"/>
      <c r="W11" s="154">
        <f t="shared" si="0"/>
        <v>0.84721695569072941</v>
      </c>
    </row>
    <row r="12" spans="1:27" x14ac:dyDescent="0.25">
      <c r="C12" s="426"/>
      <c r="D12" s="157" t="s">
        <v>13</v>
      </c>
      <c r="E12" s="158">
        <f>IF($D$2&gt;2,100,0)</f>
        <v>100</v>
      </c>
      <c r="F12" s="140">
        <f>IF($D$2&gt;1,100,0)</f>
        <v>100</v>
      </c>
      <c r="G12" s="159">
        <v>100</v>
      </c>
      <c r="H12" s="160">
        <f>'Processor LT adverse S12'!J4</f>
        <v>0.16197048631508851</v>
      </c>
      <c r="I12" s="161">
        <f>'Processor LT adverse S12'!K4</f>
        <v>0.32035892298340057</v>
      </c>
      <c r="J12" s="161">
        <f>I12*E12/100</f>
        <v>0.32035892298340057</v>
      </c>
      <c r="K12" s="161">
        <f>I12*F12/100</f>
        <v>0.32035892298340057</v>
      </c>
      <c r="L12" s="161">
        <f>I12*G12/100</f>
        <v>0.32035892298340057</v>
      </c>
      <c r="M12" s="142">
        <f t="shared" ref="M12:M59" si="3">M11*W11</f>
        <v>0.74160125583659997</v>
      </c>
      <c r="N12" s="142">
        <f>N11*W11</f>
        <v>0.84721695569072941</v>
      </c>
      <c r="O12" s="162">
        <v>1</v>
      </c>
      <c r="P12" s="142">
        <f t="shared" si="1"/>
        <v>3.8480718076337857E-2</v>
      </c>
      <c r="Q12" s="142">
        <f t="shared" ref="Q12:Q59" si="4">N12*K12*H12</f>
        <v>4.3960978443396005E-2</v>
      </c>
      <c r="R12" s="142">
        <f>H12*L12*O12</f>
        <v>5.1888690550999379E-2</v>
      </c>
      <c r="S12" s="156">
        <f>P12*$E12</f>
        <v>3.8480718076337856</v>
      </c>
      <c r="T12" s="156">
        <f t="shared" si="2"/>
        <v>4.3960978443396002</v>
      </c>
      <c r="U12" s="153">
        <f t="shared" ref="U12:U22" si="5">R12*$G12</f>
        <v>5.1888690550999383</v>
      </c>
      <c r="W12" s="154">
        <f t="shared" si="0"/>
        <v>0.83802951368491152</v>
      </c>
    </row>
    <row r="13" spans="1:27" x14ac:dyDescent="0.25">
      <c r="A13" s="163"/>
      <c r="C13" s="439" t="s">
        <v>179</v>
      </c>
      <c r="D13" s="147" t="s">
        <v>180</v>
      </c>
      <c r="E13" s="148">
        <f>IF($D$2&gt;3,100,0)</f>
        <v>100</v>
      </c>
      <c r="F13" s="148">
        <f>IF($D$2&gt;2,100,0)</f>
        <v>100</v>
      </c>
      <c r="G13" s="148">
        <f>IF($D$2&gt;1,100,0)</f>
        <v>100</v>
      </c>
      <c r="H13" s="147">
        <f t="shared" ref="H13:H18" si="6">($H$19-$H$12)/7+H12</f>
        <v>0.147373941490093</v>
      </c>
      <c r="I13" s="147">
        <f t="shared" ref="I13:I18" si="7">($I$19-$I$12)/7+I12</f>
        <v>0.2981072949642129</v>
      </c>
      <c r="J13" s="164">
        <f>I13*E13/100</f>
        <v>0.2981072949642129</v>
      </c>
      <c r="K13" s="164">
        <f>I13*F13/100</f>
        <v>0.2981072949642129</v>
      </c>
      <c r="L13" s="164">
        <f>I13*G13/100</f>
        <v>0.2981072949642129</v>
      </c>
      <c r="M13" s="164">
        <f t="shared" si="3"/>
        <v>0.62148373977686555</v>
      </c>
      <c r="N13" s="164">
        <f t="shared" ref="N13:N59" si="8">N12*W12</f>
        <v>0.70999281336311315</v>
      </c>
      <c r="O13" s="164">
        <f>O12*W12</f>
        <v>0.83802951368491152</v>
      </c>
      <c r="P13" s="164">
        <f t="shared" si="1"/>
        <v>2.7303798674580756E-2</v>
      </c>
      <c r="Q13" s="164">
        <f t="shared" si="4"/>
        <v>3.1192289670242544E-2</v>
      </c>
      <c r="R13" s="164">
        <f t="shared" ref="R13:R59" si="9">H13*L13*O13</f>
        <v>3.6817357656412482E-2</v>
      </c>
      <c r="S13" s="156">
        <f>P13*$E13</f>
        <v>2.7303798674580757</v>
      </c>
      <c r="T13" s="156">
        <f t="shared" si="2"/>
        <v>3.1192289670242546</v>
      </c>
      <c r="U13" s="165">
        <f t="shared" si="5"/>
        <v>3.6817357656412484</v>
      </c>
      <c r="W13" s="154">
        <f t="shared" si="0"/>
        <v>0.85262605850990703</v>
      </c>
    </row>
    <row r="14" spans="1:27" x14ac:dyDescent="0.25">
      <c r="A14" s="163"/>
      <c r="B14" s="163"/>
      <c r="C14" s="440"/>
      <c r="D14" s="147" t="s">
        <v>181</v>
      </c>
      <c r="E14" s="166">
        <f>IF(E13&gt;0.1,-100/($D$2-3)+E13,0)</f>
        <v>96.296296296296291</v>
      </c>
      <c r="F14" s="167">
        <f>IF(F13&gt;0.1,-100/($D$2-2)+F13,0)</f>
        <v>96.428571428571431</v>
      </c>
      <c r="G14" s="168">
        <f>IF(G13&gt;0.1,-100/($D$2-1)+G13,0)</f>
        <v>96.551724137931032</v>
      </c>
      <c r="H14" s="147">
        <f t="shared" si="6"/>
        <v>0.1327773966650975</v>
      </c>
      <c r="I14" s="164">
        <f t="shared" si="7"/>
        <v>0.27585566694502522</v>
      </c>
      <c r="J14" s="164">
        <f t="shared" ref="J14:J59" si="10">I14*E14/100</f>
        <v>0.26563879039150573</v>
      </c>
      <c r="K14" s="164">
        <f t="shared" ref="K14:K59" si="11">I14*F14/100</f>
        <v>0.26600367883984577</v>
      </c>
      <c r="L14" s="164">
        <f t="shared" ref="L14:L59" si="12">I14*G14/100</f>
        <v>0.26634340256761058</v>
      </c>
      <c r="M14" s="164">
        <f t="shared" si="3"/>
        <v>0.52989323147394563</v>
      </c>
      <c r="N14" s="164">
        <f t="shared" si="8"/>
        <v>0.60535837402815118</v>
      </c>
      <c r="O14" s="164">
        <f t="shared" ref="O14:O59" si="13">O13*W13</f>
        <v>0.71452580116814035</v>
      </c>
      <c r="P14" s="164">
        <f t="shared" si="1"/>
        <v>1.8689772517752379E-2</v>
      </c>
      <c r="Q14" s="164">
        <f t="shared" si="4"/>
        <v>2.1380819478918733E-2</v>
      </c>
      <c r="R14" s="164">
        <f t="shared" si="9"/>
        <v>2.5268764533075555E-2</v>
      </c>
      <c r="S14" s="156">
        <f t="shared" ref="S14:S59" si="14">P14*$E14</f>
        <v>1.7997558720798588</v>
      </c>
      <c r="T14" s="156">
        <f t="shared" si="2"/>
        <v>2.0617218783243065</v>
      </c>
      <c r="U14" s="165">
        <f t="shared" si="5"/>
        <v>2.4397427825038465</v>
      </c>
      <c r="W14" s="154">
        <f t="shared" si="0"/>
        <v>0.86722260333490253</v>
      </c>
    </row>
    <row r="15" spans="1:27" x14ac:dyDescent="0.25">
      <c r="A15" s="163"/>
      <c r="B15" s="163"/>
      <c r="C15" s="440"/>
      <c r="D15" s="147" t="s">
        <v>182</v>
      </c>
      <c r="E15" s="166">
        <f t="shared" ref="E15:E59" si="15">IF(E14&gt;0.1,-100/($D$2-3)+E14,0)</f>
        <v>92.592592592592581</v>
      </c>
      <c r="F15" s="167">
        <f t="shared" ref="F15:F59" si="16">IF(F14&gt;0.1,-100/($D$2-2)+F14,0)</f>
        <v>92.857142857142861</v>
      </c>
      <c r="G15" s="168">
        <f t="shared" ref="G15:G59" si="17">IF(G14&gt;0.1,-100/($D$2-1)+G14,0)</f>
        <v>93.103448275862064</v>
      </c>
      <c r="H15" s="147">
        <f t="shared" si="6"/>
        <v>0.11818085184010199</v>
      </c>
      <c r="I15" s="164">
        <f t="shared" si="7"/>
        <v>0.25360403892583755</v>
      </c>
      <c r="J15" s="164">
        <f t="shared" si="10"/>
        <v>0.23481855456096068</v>
      </c>
      <c r="K15" s="164">
        <f t="shared" si="11"/>
        <v>0.23548946471684917</v>
      </c>
      <c r="L15" s="164">
        <f t="shared" si="12"/>
        <v>0.23611410520681425</v>
      </c>
      <c r="M15" s="164">
        <f t="shared" si="3"/>
        <v>0.45953538768837926</v>
      </c>
      <c r="N15" s="164">
        <f t="shared" si="8"/>
        <v>0.52498046507527696</v>
      </c>
      <c r="O15" s="164">
        <f t="shared" si="13"/>
        <v>0.61965292543899164</v>
      </c>
      <c r="P15" s="164">
        <f t="shared" si="1"/>
        <v>1.2752592648050372E-2</v>
      </c>
      <c r="Q15" s="164">
        <f t="shared" si="4"/>
        <v>1.4610387744588478E-2</v>
      </c>
      <c r="R15" s="164">
        <f t="shared" si="9"/>
        <v>1.7290898146384768E-2</v>
      </c>
      <c r="S15" s="156">
        <f t="shared" si="14"/>
        <v>1.1807956155602195</v>
      </c>
      <c r="T15" s="156">
        <f t="shared" si="2"/>
        <v>1.3566788619975017</v>
      </c>
      <c r="U15" s="165">
        <f t="shared" si="5"/>
        <v>1.6098422412151334</v>
      </c>
      <c r="W15" s="154">
        <f t="shared" si="0"/>
        <v>0.88181914815989804</v>
      </c>
    </row>
    <row r="16" spans="1:27" x14ac:dyDescent="0.25">
      <c r="A16" s="163"/>
      <c r="B16" s="163"/>
      <c r="C16" s="440"/>
      <c r="D16" s="147" t="s">
        <v>183</v>
      </c>
      <c r="E16" s="166">
        <f t="shared" si="15"/>
        <v>88.888888888888872</v>
      </c>
      <c r="F16" s="167">
        <f t="shared" si="16"/>
        <v>89.285714285714292</v>
      </c>
      <c r="G16" s="168">
        <f t="shared" si="17"/>
        <v>89.655172413793096</v>
      </c>
      <c r="H16" s="147">
        <f t="shared" si="6"/>
        <v>0.10358430701510649</v>
      </c>
      <c r="I16" s="164">
        <f t="shared" si="7"/>
        <v>0.23135241090664987</v>
      </c>
      <c r="J16" s="164">
        <f t="shared" si="10"/>
        <v>0.20564658747257764</v>
      </c>
      <c r="K16" s="164">
        <f t="shared" si="11"/>
        <v>0.20656465259522311</v>
      </c>
      <c r="L16" s="164">
        <f t="shared" si="12"/>
        <v>0.20741940288182403</v>
      </c>
      <c r="M16" s="164">
        <f t="shared" si="3"/>
        <v>0.40522710412069507</v>
      </c>
      <c r="N16" s="164">
        <f t="shared" si="8"/>
        <v>0.46293782651326781</v>
      </c>
      <c r="O16" s="164">
        <f t="shared" si="13"/>
        <v>0.54642181486540042</v>
      </c>
      <c r="P16" s="164">
        <f t="shared" si="1"/>
        <v>8.6320502149187101E-3</v>
      </c>
      <c r="Q16" s="164">
        <f t="shared" si="4"/>
        <v>9.9054141927421291E-3</v>
      </c>
      <c r="R16" s="164">
        <f t="shared" si="9"/>
        <v>1.1740088588560483E-2</v>
      </c>
      <c r="S16" s="156">
        <f t="shared" si="14"/>
        <v>0.76729335243721852</v>
      </c>
      <c r="T16" s="156">
        <f t="shared" si="2"/>
        <v>0.88441198149483302</v>
      </c>
      <c r="U16" s="165">
        <f t="shared" si="5"/>
        <v>1.052559666560595</v>
      </c>
      <c r="W16" s="154">
        <f t="shared" si="0"/>
        <v>0.89641569298489354</v>
      </c>
    </row>
    <row r="17" spans="1:27" x14ac:dyDescent="0.25">
      <c r="A17" s="163"/>
      <c r="B17" s="163"/>
      <c r="C17" s="440"/>
      <c r="D17" s="147" t="s">
        <v>184</v>
      </c>
      <c r="E17" s="166">
        <f t="shared" si="15"/>
        <v>85.185185185185162</v>
      </c>
      <c r="F17" s="167">
        <f t="shared" si="16"/>
        <v>85.714285714285722</v>
      </c>
      <c r="G17" s="168">
        <f t="shared" si="17"/>
        <v>86.206896551724128</v>
      </c>
      <c r="H17" s="147">
        <f t="shared" si="6"/>
        <v>8.8987762190110981E-2</v>
      </c>
      <c r="I17" s="164">
        <f t="shared" si="7"/>
        <v>0.2091007828874622</v>
      </c>
      <c r="J17" s="164">
        <f t="shared" si="10"/>
        <v>0.17812288912635665</v>
      </c>
      <c r="K17" s="164">
        <f t="shared" si="11"/>
        <v>0.17922924247496763</v>
      </c>
      <c r="L17" s="164">
        <f t="shared" si="12"/>
        <v>0.18025929559263981</v>
      </c>
      <c r="M17" s="164">
        <f t="shared" si="3"/>
        <v>0.36325193535661449</v>
      </c>
      <c r="N17" s="164">
        <f t="shared" si="8"/>
        <v>0.41498473256281138</v>
      </c>
      <c r="O17" s="164">
        <f t="shared" si="13"/>
        <v>0.48982108983463113</v>
      </c>
      <c r="P17" s="164">
        <f t="shared" si="1"/>
        <v>5.7578182654361284E-3</v>
      </c>
      <c r="Q17" s="164">
        <f t="shared" si="4"/>
        <v>6.6186783173038319E-3</v>
      </c>
      <c r="R17" s="164">
        <f t="shared" si="9"/>
        <v>7.8571570761477392E-3</v>
      </c>
      <c r="S17" s="156">
        <f t="shared" si="14"/>
        <v>0.4904808152038182</v>
      </c>
      <c r="T17" s="156">
        <f t="shared" si="2"/>
        <v>0.56731528434032852</v>
      </c>
      <c r="U17" s="165">
        <f t="shared" si="5"/>
        <v>0.67734112725411533</v>
      </c>
      <c r="W17" s="154">
        <f t="shared" si="0"/>
        <v>0.91101223780988905</v>
      </c>
    </row>
    <row r="18" spans="1:27" x14ac:dyDescent="0.25">
      <c r="A18" s="163"/>
      <c r="B18" s="163"/>
      <c r="C18" s="428"/>
      <c r="D18" s="157" t="s">
        <v>185</v>
      </c>
      <c r="E18" s="169">
        <f t="shared" si="15"/>
        <v>81.481481481481453</v>
      </c>
      <c r="F18" s="170">
        <f t="shared" si="16"/>
        <v>82.142857142857153</v>
      </c>
      <c r="G18" s="171">
        <f t="shared" si="17"/>
        <v>82.75862068965516</v>
      </c>
      <c r="H18" s="157">
        <f t="shared" si="6"/>
        <v>7.4391217365115475E-2</v>
      </c>
      <c r="I18" s="172">
        <f t="shared" si="7"/>
        <v>0.18684915486827453</v>
      </c>
      <c r="J18" s="157">
        <f t="shared" si="10"/>
        <v>0.15224745952229771</v>
      </c>
      <c r="K18" s="172">
        <f t="shared" si="11"/>
        <v>0.15348323435608266</v>
      </c>
      <c r="L18" s="172">
        <f t="shared" si="12"/>
        <v>0.15463378333926164</v>
      </c>
      <c r="M18" s="172">
        <f t="shared" si="3"/>
        <v>0.33092695851800252</v>
      </c>
      <c r="N18" s="172">
        <f t="shared" si="8"/>
        <v>0.3780561698689851</v>
      </c>
      <c r="O18" s="172">
        <f t="shared" si="13"/>
        <v>0.44623300717672598</v>
      </c>
      <c r="P18" s="172">
        <f t="shared" si="1"/>
        <v>3.7480369872646096E-3</v>
      </c>
      <c r="Q18" s="172">
        <f t="shared" si="4"/>
        <v>4.316571493869493E-3</v>
      </c>
      <c r="R18" s="172">
        <f t="shared" si="9"/>
        <v>5.1331947169002178E-3</v>
      </c>
      <c r="S18" s="173">
        <f t="shared" si="14"/>
        <v>0.30539560636970881</v>
      </c>
      <c r="T18" s="173">
        <f t="shared" si="2"/>
        <v>0.35457551556785127</v>
      </c>
      <c r="U18" s="174">
        <f t="shared" si="5"/>
        <v>0.42481611450208695</v>
      </c>
      <c r="W18" s="154">
        <f t="shared" si="0"/>
        <v>0.92560878263488455</v>
      </c>
    </row>
    <row r="19" spans="1:27" x14ac:dyDescent="0.25">
      <c r="A19" s="163"/>
      <c r="B19" s="163"/>
      <c r="C19" s="437" t="s">
        <v>186</v>
      </c>
      <c r="D19" s="147" t="s">
        <v>187</v>
      </c>
      <c r="E19" s="166">
        <f t="shared" si="15"/>
        <v>77.777777777777743</v>
      </c>
      <c r="F19" s="167">
        <f t="shared" si="16"/>
        <v>78.571428571428584</v>
      </c>
      <c r="G19" s="168">
        <f t="shared" si="17"/>
        <v>79.310344827586192</v>
      </c>
      <c r="H19" s="175">
        <f>'Processor LT base S12'!J4</f>
        <v>5.9794672540119928E-2</v>
      </c>
      <c r="I19" s="176">
        <f>'Processor LT base S12'!K4</f>
        <v>0.16459752684908685</v>
      </c>
      <c r="J19" s="164">
        <f t="shared" si="10"/>
        <v>0.12802029866040082</v>
      </c>
      <c r="K19" s="177">
        <f t="shared" si="11"/>
        <v>0.12932662823856825</v>
      </c>
      <c r="L19" s="177">
        <f t="shared" si="12"/>
        <v>0.13054286612168955</v>
      </c>
      <c r="M19" s="178">
        <f t="shared" si="3"/>
        <v>0.30630889921491328</v>
      </c>
      <c r="N19" s="178">
        <f t="shared" si="8"/>
        <v>0.34993211116003842</v>
      </c>
      <c r="O19" s="178">
        <f t="shared" si="13"/>
        <v>0.41303719054435306</v>
      </c>
      <c r="P19" s="178">
        <f t="shared" si="1"/>
        <v>2.3447737445220574E-3</v>
      </c>
      <c r="Q19" s="178">
        <f t="shared" si="4"/>
        <v>2.7060401978401907E-3</v>
      </c>
      <c r="R19" s="178">
        <f t="shared" si="9"/>
        <v>3.2240724567550857E-3</v>
      </c>
      <c r="S19" s="156">
        <f t="shared" si="14"/>
        <v>0.18237129124060439</v>
      </c>
      <c r="T19" s="156">
        <f t="shared" si="2"/>
        <v>0.21261744411601502</v>
      </c>
      <c r="U19" s="165">
        <f t="shared" si="5"/>
        <v>0.2557022982943688</v>
      </c>
      <c r="W19" s="154">
        <f t="shared" si="0"/>
        <v>0.94020532745988006</v>
      </c>
    </row>
    <row r="20" spans="1:27" x14ac:dyDescent="0.25">
      <c r="A20" s="163"/>
      <c r="B20" s="163"/>
      <c r="C20" s="438"/>
      <c r="D20" s="147" t="s">
        <v>188</v>
      </c>
      <c r="E20" s="166">
        <f t="shared" si="15"/>
        <v>74.074074074074034</v>
      </c>
      <c r="F20" s="167">
        <f t="shared" si="16"/>
        <v>75.000000000000014</v>
      </c>
      <c r="G20" s="168">
        <f t="shared" si="17"/>
        <v>75.862068965517224</v>
      </c>
      <c r="H20" s="147">
        <f>H19</f>
        <v>5.9794672540119928E-2</v>
      </c>
      <c r="I20" s="164">
        <f>I19</f>
        <v>0.16459752684908685</v>
      </c>
      <c r="J20" s="164">
        <f t="shared" si="10"/>
        <v>0.1219240939622865</v>
      </c>
      <c r="K20" s="164">
        <f t="shared" si="11"/>
        <v>0.12344814513681517</v>
      </c>
      <c r="L20" s="164">
        <f t="shared" si="12"/>
        <v>0.12486708933379</v>
      </c>
      <c r="M20" s="164">
        <f t="shared" si="3"/>
        <v>0.28799325889023292</v>
      </c>
      <c r="N20" s="164">
        <f t="shared" si="8"/>
        <v>0.3290080351619511</v>
      </c>
      <c r="O20" s="164">
        <f t="shared" si="13"/>
        <v>0.38833976698886236</v>
      </c>
      <c r="P20" s="164">
        <f t="shared" si="1"/>
        <v>2.0995893012263718E-3</v>
      </c>
      <c r="Q20" s="164">
        <f t="shared" si="4"/>
        <v>2.4285864371331204E-3</v>
      </c>
      <c r="R20" s="164">
        <f t="shared" si="9"/>
        <v>2.8994948782204997E-3</v>
      </c>
      <c r="S20" s="156">
        <f t="shared" si="14"/>
        <v>0.15552513342417559</v>
      </c>
      <c r="T20" s="156">
        <f t="shared" si="2"/>
        <v>0.18214398278498406</v>
      </c>
      <c r="U20" s="165">
        <f t="shared" si="5"/>
        <v>0.21996168041672751</v>
      </c>
      <c r="W20" s="154">
        <f t="shared" si="0"/>
        <v>0.94020532745988006</v>
      </c>
    </row>
    <row r="21" spans="1:27" x14ac:dyDescent="0.25">
      <c r="A21" s="163"/>
      <c r="B21" s="163"/>
      <c r="C21" s="438"/>
      <c r="D21" s="147" t="s">
        <v>189</v>
      </c>
      <c r="E21" s="166">
        <f t="shared" si="15"/>
        <v>70.370370370370324</v>
      </c>
      <c r="F21" s="167">
        <f t="shared" si="16"/>
        <v>71.428571428571445</v>
      </c>
      <c r="G21" s="168">
        <f t="shared" si="17"/>
        <v>72.413793103448256</v>
      </c>
      <c r="H21" s="147">
        <f t="shared" ref="H21:I36" si="18">H20</f>
        <v>5.9794672540119928E-2</v>
      </c>
      <c r="I21" s="164">
        <f t="shared" si="18"/>
        <v>0.16459752684908685</v>
      </c>
      <c r="J21" s="164">
        <f t="shared" si="10"/>
        <v>0.11582788926417216</v>
      </c>
      <c r="K21" s="164">
        <f t="shared" si="11"/>
        <v>0.11756966203506206</v>
      </c>
      <c r="L21" s="164">
        <f t="shared" si="12"/>
        <v>0.11919131254589045</v>
      </c>
      <c r="M21" s="164">
        <f t="shared" si="3"/>
        <v>0.27077279628112944</v>
      </c>
      <c r="N21" s="164">
        <f t="shared" si="8"/>
        <v>0.30933510743637394</v>
      </c>
      <c r="O21" s="164">
        <f t="shared" si="13"/>
        <v>0.36511911778745687</v>
      </c>
      <c r="P21" s="147">
        <f t="shared" si="1"/>
        <v>1.8753427941662609E-3</v>
      </c>
      <c r="Q21" s="164">
        <f t="shared" si="4"/>
        <v>2.1746380060851133E-3</v>
      </c>
      <c r="R21" s="164">
        <f t="shared" si="9"/>
        <v>2.6022059618343888E-3</v>
      </c>
      <c r="S21" s="156">
        <f t="shared" si="14"/>
        <v>0.13196856699688495</v>
      </c>
      <c r="T21" s="156">
        <f t="shared" si="2"/>
        <v>0.15533128614893671</v>
      </c>
      <c r="U21" s="165">
        <f t="shared" si="5"/>
        <v>0.188435604132835</v>
      </c>
      <c r="V21" s="114"/>
      <c r="W21" s="154">
        <f t="shared" si="0"/>
        <v>0.94020532745988006</v>
      </c>
      <c r="Z21" s="179"/>
      <c r="AA21" s="179"/>
    </row>
    <row r="22" spans="1:27" x14ac:dyDescent="0.25">
      <c r="A22" s="163"/>
      <c r="B22" s="163"/>
      <c r="C22" s="438"/>
      <c r="D22" s="147" t="s">
        <v>190</v>
      </c>
      <c r="E22" s="166">
        <f t="shared" si="15"/>
        <v>66.666666666666615</v>
      </c>
      <c r="F22" s="167">
        <f t="shared" si="16"/>
        <v>67.857142857142875</v>
      </c>
      <c r="G22" s="168">
        <f t="shared" si="17"/>
        <v>68.965517241379288</v>
      </c>
      <c r="H22" s="147">
        <f t="shared" si="18"/>
        <v>5.9794672540119928E-2</v>
      </c>
      <c r="I22" s="164">
        <f t="shared" si="18"/>
        <v>0.16459752684908685</v>
      </c>
      <c r="J22" s="164">
        <f t="shared" si="10"/>
        <v>0.10973168456605782</v>
      </c>
      <c r="K22" s="147">
        <f t="shared" si="11"/>
        <v>0.11169117893330897</v>
      </c>
      <c r="L22" s="164">
        <f t="shared" si="12"/>
        <v>0.11351553575799089</v>
      </c>
      <c r="M22" s="164">
        <f t="shared" si="3"/>
        <v>0.2545820255947267</v>
      </c>
      <c r="N22" s="164">
        <f t="shared" si="8"/>
        <v>0.29083851598205313</v>
      </c>
      <c r="O22" s="164">
        <f t="shared" si="13"/>
        <v>0.34328693970121843</v>
      </c>
      <c r="P22" s="147">
        <f t="shared" si="1"/>
        <v>1.6704069024207938E-3</v>
      </c>
      <c r="Q22" s="147">
        <f t="shared" si="4"/>
        <v>1.942375926687057E-3</v>
      </c>
      <c r="R22" s="164">
        <f t="shared" si="9"/>
        <v>2.3301027699662415E-3</v>
      </c>
      <c r="S22" s="156">
        <f t="shared" si="14"/>
        <v>0.11136046016138616</v>
      </c>
      <c r="T22" s="156">
        <f t="shared" si="2"/>
        <v>0.13180408073947891</v>
      </c>
      <c r="U22" s="165">
        <f t="shared" si="5"/>
        <v>0.16069674275629248</v>
      </c>
      <c r="V22" s="114"/>
      <c r="W22" s="154">
        <f t="shared" si="0"/>
        <v>0.94020532745988006</v>
      </c>
      <c r="Z22" s="179"/>
      <c r="AA22" s="179"/>
    </row>
    <row r="23" spans="1:27" x14ac:dyDescent="0.25">
      <c r="A23" s="163"/>
      <c r="B23" s="163"/>
      <c r="C23" s="438"/>
      <c r="D23" s="147" t="s">
        <v>191</v>
      </c>
      <c r="E23" s="166">
        <f t="shared" si="15"/>
        <v>62.962962962962912</v>
      </c>
      <c r="F23" s="167">
        <f t="shared" si="16"/>
        <v>64.285714285714306</v>
      </c>
      <c r="G23" s="168">
        <f t="shared" si="17"/>
        <v>65.51724137931032</v>
      </c>
      <c r="H23" s="147">
        <f t="shared" si="18"/>
        <v>5.9794672540119928E-2</v>
      </c>
      <c r="I23" s="164">
        <f t="shared" si="18"/>
        <v>0.16459752684908685</v>
      </c>
      <c r="J23" s="164">
        <f t="shared" si="10"/>
        <v>0.10363547986794348</v>
      </c>
      <c r="K23" s="147">
        <f t="shared" si="11"/>
        <v>0.10581269583155586</v>
      </c>
      <c r="L23" s="147">
        <f t="shared" si="12"/>
        <v>0.10783975897009135</v>
      </c>
      <c r="M23" s="147">
        <f t="shared" si="3"/>
        <v>0.23935937673968957</v>
      </c>
      <c r="N23" s="147">
        <f t="shared" si="8"/>
        <v>0.27344792215685182</v>
      </c>
      <c r="O23" s="164">
        <f t="shared" si="13"/>
        <v>0.3227602095544842</v>
      </c>
      <c r="P23" s="147">
        <f t="shared" si="1"/>
        <v>1.4832740537550201E-3</v>
      </c>
      <c r="Q23" s="147">
        <f t="shared" si="4"/>
        <v>1.7301147102956767E-3</v>
      </c>
      <c r="R23" s="147">
        <f t="shared" si="9"/>
        <v>2.0812362859587196E-3</v>
      </c>
      <c r="S23" s="156">
        <f t="shared" si="14"/>
        <v>9.3391329310501189E-2</v>
      </c>
      <c r="T23" s="156">
        <f t="shared" si="2"/>
        <v>0.11122165994757925</v>
      </c>
      <c r="U23" s="165">
        <f>R23*$G23</f>
        <v>0.13635686011453674</v>
      </c>
      <c r="V23" s="114"/>
      <c r="W23" s="154">
        <f t="shared" si="0"/>
        <v>0.94020532745988006</v>
      </c>
      <c r="Z23" s="179"/>
      <c r="AA23" s="179"/>
    </row>
    <row r="24" spans="1:27" x14ac:dyDescent="0.25">
      <c r="A24" s="163"/>
      <c r="B24" s="163"/>
      <c r="C24" s="438"/>
      <c r="D24" s="147" t="s">
        <v>192</v>
      </c>
      <c r="E24" s="166">
        <f t="shared" si="15"/>
        <v>59.25925925925921</v>
      </c>
      <c r="F24" s="167">
        <f t="shared" si="16"/>
        <v>60.714285714285737</v>
      </c>
      <c r="G24" s="168">
        <f t="shared" si="17"/>
        <v>62.068965517241352</v>
      </c>
      <c r="H24" s="147">
        <f t="shared" si="18"/>
        <v>5.9794672540119928E-2</v>
      </c>
      <c r="I24" s="164">
        <f t="shared" si="18"/>
        <v>0.16459752684908685</v>
      </c>
      <c r="J24" s="164">
        <f t="shared" si="10"/>
        <v>9.7539275169829159E-2</v>
      </c>
      <c r="K24" s="147">
        <f t="shared" si="11"/>
        <v>9.9934212729802768E-2</v>
      </c>
      <c r="L24" s="147">
        <f t="shared" si="12"/>
        <v>0.10216398218219179</v>
      </c>
      <c r="M24" s="147">
        <f t="shared" si="3"/>
        <v>0.22504696118813264</v>
      </c>
      <c r="N24" s="147">
        <f t="shared" si="8"/>
        <v>0.25709719319470664</v>
      </c>
      <c r="O24" s="164">
        <f t="shared" si="13"/>
        <v>0.30346086851519333</v>
      </c>
      <c r="P24" s="147">
        <f t="shared" si="1"/>
        <v>1.3125479222809247E-3</v>
      </c>
      <c r="Q24" s="147">
        <f t="shared" si="4"/>
        <v>1.5362928973068858E-3</v>
      </c>
      <c r="R24" s="147">
        <f t="shared" si="9"/>
        <v>1.8538005256685075E-3</v>
      </c>
      <c r="S24" s="156">
        <f t="shared" si="14"/>
        <v>7.7780617616647327E-2</v>
      </c>
      <c r="T24" s="156">
        <f t="shared" si="2"/>
        <v>9.3274925907918096E-2</v>
      </c>
      <c r="U24" s="165">
        <f t="shared" ref="U24:U59" si="19">R24*$G24</f>
        <v>0.11506348090356248</v>
      </c>
      <c r="V24" s="114"/>
      <c r="W24" s="154">
        <f t="shared" si="0"/>
        <v>0.94020532745988006</v>
      </c>
      <c r="X24" s="180"/>
      <c r="Z24" s="131"/>
      <c r="AA24" s="131"/>
    </row>
    <row r="25" spans="1:27" x14ac:dyDescent="0.25">
      <c r="A25" s="163"/>
      <c r="B25" s="163"/>
      <c r="C25" s="438"/>
      <c r="D25" s="147" t="s">
        <v>193</v>
      </c>
      <c r="E25" s="166">
        <f t="shared" si="15"/>
        <v>55.555555555555507</v>
      </c>
      <c r="F25" s="167">
        <f t="shared" si="16"/>
        <v>57.142857142857167</v>
      </c>
      <c r="G25" s="168">
        <f t="shared" si="17"/>
        <v>58.620689655172384</v>
      </c>
      <c r="H25" s="147">
        <f t="shared" si="18"/>
        <v>5.9794672540119928E-2</v>
      </c>
      <c r="I25" s="164">
        <f t="shared" si="18"/>
        <v>0.16459752684908685</v>
      </c>
      <c r="J25" s="164">
        <f t="shared" si="10"/>
        <v>9.1443070471714835E-2</v>
      </c>
      <c r="K25" s="147">
        <f t="shared" si="11"/>
        <v>9.4055729628049672E-2</v>
      </c>
      <c r="L25" s="147">
        <f t="shared" si="12"/>
        <v>9.6488205394292231E-2</v>
      </c>
      <c r="M25" s="147">
        <f t="shared" si="3"/>
        <v>0.21159035183773917</v>
      </c>
      <c r="N25" s="147">
        <f t="shared" si="8"/>
        <v>0.24172415071664521</v>
      </c>
      <c r="O25" s="164">
        <f t="shared" si="13"/>
        <v>0.28531552525358694</v>
      </c>
      <c r="P25" s="147">
        <f t="shared" si="1"/>
        <v>1.1569355147577395E-3</v>
      </c>
      <c r="Q25" s="147">
        <f t="shared" si="4"/>
        <v>1.3594642509051373E-3</v>
      </c>
      <c r="R25" s="147">
        <f t="shared" si="9"/>
        <v>1.6461224008213755E-3</v>
      </c>
      <c r="S25" s="156">
        <f t="shared" si="14"/>
        <v>6.4274195264318809E-2</v>
      </c>
      <c r="T25" s="156">
        <f t="shared" si="2"/>
        <v>7.7683671480293592E-2</v>
      </c>
      <c r="U25" s="165">
        <f t="shared" si="19"/>
        <v>9.6496830392977143E-2</v>
      </c>
      <c r="V25" s="114"/>
      <c r="W25" s="154">
        <f t="shared" si="0"/>
        <v>0.94020532745988006</v>
      </c>
      <c r="Z25" s="181"/>
      <c r="AA25" s="179"/>
    </row>
    <row r="26" spans="1:27" x14ac:dyDescent="0.25">
      <c r="A26" s="163"/>
      <c r="B26" s="163"/>
      <c r="C26" s="438"/>
      <c r="D26" s="147" t="s">
        <v>194</v>
      </c>
      <c r="E26" s="166">
        <f t="shared" si="15"/>
        <v>51.851851851851805</v>
      </c>
      <c r="F26" s="167">
        <f t="shared" si="16"/>
        <v>53.571428571428598</v>
      </c>
      <c r="G26" s="168">
        <f t="shared" si="17"/>
        <v>55.172413793103416</v>
      </c>
      <c r="H26" s="147">
        <f t="shared" si="18"/>
        <v>5.9794672540119928E-2</v>
      </c>
      <c r="I26" s="164">
        <f t="shared" si="18"/>
        <v>0.16459752684908685</v>
      </c>
      <c r="J26" s="164">
        <f t="shared" si="10"/>
        <v>8.5346865773600525E-2</v>
      </c>
      <c r="K26" s="147">
        <f t="shared" si="11"/>
        <v>8.8177246526296577E-2</v>
      </c>
      <c r="L26" s="147">
        <f t="shared" si="12"/>
        <v>9.0812428606392701E-2</v>
      </c>
      <c r="M26" s="147">
        <f t="shared" si="3"/>
        <v>0.19893837603695277</v>
      </c>
      <c r="N26" s="147">
        <f t="shared" si="8"/>
        <v>0.22727033427950483</v>
      </c>
      <c r="O26" s="164">
        <f t="shared" si="13"/>
        <v>0.26825517685043637</v>
      </c>
      <c r="P26" s="147">
        <f t="shared" si="1"/>
        <v>1.0152398055359143E-3</v>
      </c>
      <c r="Q26" s="147">
        <f t="shared" si="4"/>
        <v>1.198289560492749E-3</v>
      </c>
      <c r="R26" s="147">
        <f t="shared" si="9"/>
        <v>1.456652283203111E-3</v>
      </c>
      <c r="S26" s="156">
        <f t="shared" si="14"/>
        <v>5.264206399075106E-2</v>
      </c>
      <c r="T26" s="156">
        <f t="shared" si="2"/>
        <v>6.4194083597825871E-2</v>
      </c>
      <c r="U26" s="165">
        <f t="shared" si="19"/>
        <v>8.036702252155091E-2</v>
      </c>
      <c r="V26" s="114"/>
      <c r="W26" s="154">
        <f t="shared" si="0"/>
        <v>0.94020532745988006</v>
      </c>
      <c r="Y26" s="181"/>
      <c r="Z26" s="181"/>
      <c r="AA26" s="179"/>
    </row>
    <row r="27" spans="1:27" x14ac:dyDescent="0.25">
      <c r="A27" s="163"/>
      <c r="B27" s="163"/>
      <c r="C27" s="438"/>
      <c r="D27" s="147" t="s">
        <v>195</v>
      </c>
      <c r="E27" s="166">
        <f t="shared" si="15"/>
        <v>48.148148148148103</v>
      </c>
      <c r="F27" s="167">
        <f t="shared" si="16"/>
        <v>50.000000000000028</v>
      </c>
      <c r="G27" s="168">
        <f t="shared" si="17"/>
        <v>51.724137931034448</v>
      </c>
      <c r="H27" s="147">
        <f t="shared" si="18"/>
        <v>5.9794672540119928E-2</v>
      </c>
      <c r="I27" s="164">
        <f t="shared" si="18"/>
        <v>0.16459752684908685</v>
      </c>
      <c r="J27" s="164">
        <f t="shared" si="10"/>
        <v>7.9250661075486187E-2</v>
      </c>
      <c r="K27" s="147">
        <f t="shared" si="11"/>
        <v>8.2298763424543467E-2</v>
      </c>
      <c r="L27" s="147">
        <f t="shared" si="12"/>
        <v>8.5136651818493142E-2</v>
      </c>
      <c r="M27" s="147">
        <f t="shared" si="3"/>
        <v>0.18704292098615993</v>
      </c>
      <c r="N27" s="147">
        <f t="shared" si="8"/>
        <v>0.21368077906317823</v>
      </c>
      <c r="O27" s="164">
        <f t="shared" si="13"/>
        <v>0.25221494639347258</v>
      </c>
      <c r="P27" s="147">
        <f t="shared" si="1"/>
        <v>8.8635288282747061E-4</v>
      </c>
      <c r="Q27" s="147">
        <f t="shared" si="4"/>
        <v>1.0515290133738513E-3</v>
      </c>
      <c r="R27" s="147">
        <f t="shared" si="9"/>
        <v>1.2839552221164028E-3</v>
      </c>
      <c r="S27" s="156">
        <f t="shared" si="14"/>
        <v>4.2676249913915214E-2</v>
      </c>
      <c r="T27" s="156">
        <f t="shared" si="2"/>
        <v>5.2576450668692598E-2</v>
      </c>
      <c r="U27" s="165">
        <f t="shared" si="19"/>
        <v>6.6411477006020792E-2</v>
      </c>
      <c r="V27" s="114"/>
      <c r="W27" s="154">
        <f t="shared" si="0"/>
        <v>0.94020532745988006</v>
      </c>
      <c r="Y27" s="181"/>
      <c r="Z27" s="181"/>
      <c r="AA27" s="179"/>
    </row>
    <row r="28" spans="1:27" x14ac:dyDescent="0.25">
      <c r="A28" s="163"/>
      <c r="B28" s="163"/>
      <c r="C28" s="438"/>
      <c r="D28" s="147" t="s">
        <v>196</v>
      </c>
      <c r="E28" s="166">
        <f t="shared" si="15"/>
        <v>44.4444444444444</v>
      </c>
      <c r="F28" s="167">
        <f t="shared" si="16"/>
        <v>46.428571428571459</v>
      </c>
      <c r="G28" s="168">
        <f t="shared" si="17"/>
        <v>48.27586206896548</v>
      </c>
      <c r="H28" s="147">
        <f t="shared" si="18"/>
        <v>5.9794672540119928E-2</v>
      </c>
      <c r="I28" s="164">
        <f t="shared" si="18"/>
        <v>0.16459752684908685</v>
      </c>
      <c r="J28" s="164">
        <f t="shared" si="10"/>
        <v>7.3154456377371863E-2</v>
      </c>
      <c r="K28" s="147">
        <f t="shared" si="11"/>
        <v>7.6420280322790371E-2</v>
      </c>
      <c r="L28" s="147">
        <f t="shared" si="12"/>
        <v>7.9460875030593583E-2</v>
      </c>
      <c r="M28" s="147">
        <f t="shared" si="3"/>
        <v>0.17585875077484497</v>
      </c>
      <c r="N28" s="147">
        <f t="shared" si="8"/>
        <v>0.20090380685097778</v>
      </c>
      <c r="O28" s="164">
        <f t="shared" si="13"/>
        <v>0.23713383626415099</v>
      </c>
      <c r="P28" s="147">
        <f t="shared" si="1"/>
        <v>7.6924957148659444E-4</v>
      </c>
      <c r="Q28" s="147">
        <f t="shared" si="4"/>
        <v>9.1803509604181739E-4</v>
      </c>
      <c r="R28" s="147">
        <f t="shared" si="9"/>
        <v>1.1267027707168569E-3</v>
      </c>
      <c r="S28" s="156">
        <f t="shared" si="14"/>
        <v>3.4188869843848606E-2</v>
      </c>
      <c r="T28" s="156">
        <f t="shared" si="2"/>
        <v>4.2623058030512979E-2</v>
      </c>
      <c r="U28" s="165">
        <f t="shared" si="19"/>
        <v>5.4392547551848226E-2</v>
      </c>
      <c r="V28" s="114"/>
      <c r="W28" s="154">
        <f t="shared" si="0"/>
        <v>0.94020532745988006</v>
      </c>
      <c r="Y28" s="179"/>
      <c r="Z28" s="179"/>
      <c r="AA28" s="179"/>
    </row>
    <row r="29" spans="1:27" x14ac:dyDescent="0.25">
      <c r="A29" s="163"/>
      <c r="B29" s="163"/>
      <c r="C29" s="438"/>
      <c r="D29" s="147" t="s">
        <v>197</v>
      </c>
      <c r="E29" s="166">
        <f t="shared" si="15"/>
        <v>40.740740740740698</v>
      </c>
      <c r="F29" s="167">
        <f t="shared" si="16"/>
        <v>42.85714285714289</v>
      </c>
      <c r="G29" s="168">
        <f t="shared" si="17"/>
        <v>44.827586206896513</v>
      </c>
      <c r="H29" s="147">
        <f t="shared" si="18"/>
        <v>5.9794672540119928E-2</v>
      </c>
      <c r="I29" s="164">
        <f t="shared" si="18"/>
        <v>0.16459752684908685</v>
      </c>
      <c r="J29" s="164">
        <f t="shared" si="10"/>
        <v>6.7058251679257538E-2</v>
      </c>
      <c r="K29" s="147">
        <f t="shared" si="11"/>
        <v>7.0541797221037275E-2</v>
      </c>
      <c r="L29" s="147">
        <f t="shared" si="12"/>
        <v>7.3785098242694039E-2</v>
      </c>
      <c r="M29" s="147">
        <f t="shared" si="3"/>
        <v>0.16534333435894855</v>
      </c>
      <c r="N29" s="147">
        <f t="shared" si="8"/>
        <v>0.18889082950826006</v>
      </c>
      <c r="O29" s="164">
        <f t="shared" si="13"/>
        <v>0.22295449617655366</v>
      </c>
      <c r="P29" s="147">
        <f t="shared" si="1"/>
        <v>6.6298149981976542E-4</v>
      </c>
      <c r="Q29" s="147">
        <f t="shared" si="4"/>
        <v>7.9674598900953189E-4</v>
      </c>
      <c r="R29" s="147">
        <f t="shared" si="9"/>
        <v>9.8366537981381115E-4</v>
      </c>
      <c r="S29" s="156">
        <f t="shared" si="14"/>
        <v>2.7010357400064487E-2</v>
      </c>
      <c r="T29" s="156">
        <f t="shared" si="2"/>
        <v>3.4146256671837107E-2</v>
      </c>
      <c r="U29" s="165">
        <f t="shared" si="19"/>
        <v>4.4095344612343219E-2</v>
      </c>
      <c r="V29" s="114"/>
      <c r="W29" s="154">
        <f t="shared" si="0"/>
        <v>0.94020532745988006</v>
      </c>
      <c r="Y29" s="179"/>
      <c r="Z29" s="179"/>
      <c r="AA29" s="179"/>
    </row>
    <row r="30" spans="1:27" x14ac:dyDescent="0.25">
      <c r="A30" s="163"/>
      <c r="B30" s="163"/>
      <c r="C30" s="438"/>
      <c r="D30" s="147" t="s">
        <v>198</v>
      </c>
      <c r="E30" s="166">
        <f t="shared" si="15"/>
        <v>37.037037037036995</v>
      </c>
      <c r="F30" s="167">
        <f t="shared" si="16"/>
        <v>39.28571428571432</v>
      </c>
      <c r="G30" s="168">
        <f t="shared" si="17"/>
        <v>41.379310344827545</v>
      </c>
      <c r="H30" s="147">
        <f t="shared" si="18"/>
        <v>5.9794672540119928E-2</v>
      </c>
      <c r="I30" s="164">
        <f t="shared" si="18"/>
        <v>0.16459752684908685</v>
      </c>
      <c r="J30" s="164">
        <f t="shared" si="10"/>
        <v>6.0962046981143214E-2</v>
      </c>
      <c r="K30" s="147">
        <f t="shared" si="11"/>
        <v>6.4663314119284179E-2</v>
      </c>
      <c r="L30" s="147">
        <f t="shared" si="12"/>
        <v>6.8109321454794494E-2</v>
      </c>
      <c r="M30" s="147">
        <f t="shared" si="3"/>
        <v>0.15545668382426364</v>
      </c>
      <c r="N30" s="147">
        <f t="shared" si="8"/>
        <v>0.17759616421198202</v>
      </c>
      <c r="O30" s="164">
        <f t="shared" si="13"/>
        <v>0.20962300508632922</v>
      </c>
      <c r="P30" s="147">
        <f t="shared" si="1"/>
        <v>5.6667158012534981E-4</v>
      </c>
      <c r="Q30" s="147">
        <f t="shared" si="4"/>
        <v>6.8667942154079862E-4</v>
      </c>
      <c r="R30" s="147">
        <f t="shared" si="9"/>
        <v>8.5370532049734607E-4</v>
      </c>
      <c r="S30" s="156">
        <f t="shared" si="14"/>
        <v>2.098783630093886E-2</v>
      </c>
      <c r="T30" s="156">
        <f t="shared" si="2"/>
        <v>2.69766915605314E-2</v>
      </c>
      <c r="U30" s="165">
        <f t="shared" si="19"/>
        <v>3.5325737399890145E-2</v>
      </c>
      <c r="W30" s="154">
        <f t="shared" si="0"/>
        <v>0.94020532745988006</v>
      </c>
    </row>
    <row r="31" spans="1:27" x14ac:dyDescent="0.25">
      <c r="A31" s="163"/>
      <c r="B31" s="163"/>
      <c r="C31" s="438"/>
      <c r="D31" s="147" t="s">
        <v>199</v>
      </c>
      <c r="E31" s="166">
        <f t="shared" si="15"/>
        <v>33.333333333333293</v>
      </c>
      <c r="F31" s="167">
        <f t="shared" si="16"/>
        <v>35.714285714285751</v>
      </c>
      <c r="G31" s="168">
        <f t="shared" si="17"/>
        <v>37.931034482758577</v>
      </c>
      <c r="H31" s="147">
        <f t="shared" si="18"/>
        <v>5.9794672540119928E-2</v>
      </c>
      <c r="I31" s="164">
        <f t="shared" si="18"/>
        <v>0.16459752684908685</v>
      </c>
      <c r="J31" s="164">
        <f t="shared" si="10"/>
        <v>5.4865842283028883E-2</v>
      </c>
      <c r="K31" s="147">
        <f t="shared" si="11"/>
        <v>5.8784831017531076E-2</v>
      </c>
      <c r="L31" s="147">
        <f t="shared" si="12"/>
        <v>6.2433544666894943E-2</v>
      </c>
      <c r="M31" s="147">
        <f t="shared" si="3"/>
        <v>0.14616120232081883</v>
      </c>
      <c r="N31" s="147">
        <f t="shared" si="8"/>
        <v>0.16697685972854517</v>
      </c>
      <c r="O31" s="164">
        <f t="shared" si="13"/>
        <v>0.19708866614031628</v>
      </c>
      <c r="P31" s="147">
        <f t="shared" si="1"/>
        <v>4.7950887469856593E-4</v>
      </c>
      <c r="Q31" s="147">
        <f t="shared" si="4"/>
        <v>5.8692695489975235E-4</v>
      </c>
      <c r="R31" s="147">
        <f t="shared" si="9"/>
        <v>7.3577009954474491E-4</v>
      </c>
      <c r="S31" s="156">
        <f t="shared" si="14"/>
        <v>1.5983629156618846E-2</v>
      </c>
      <c r="T31" s="156">
        <f t="shared" si="2"/>
        <v>2.0961676960705462E-2</v>
      </c>
      <c r="U31" s="165">
        <f t="shared" si="19"/>
        <v>2.790852101721443E-2</v>
      </c>
      <c r="W31" s="154">
        <f t="shared" si="0"/>
        <v>0.94020532745988006</v>
      </c>
    </row>
    <row r="32" spans="1:27" x14ac:dyDescent="0.25">
      <c r="A32" s="163"/>
      <c r="B32" s="163"/>
      <c r="C32" s="438"/>
      <c r="D32" s="147" t="s">
        <v>200</v>
      </c>
      <c r="E32" s="166">
        <f t="shared" si="15"/>
        <v>29.629629629629591</v>
      </c>
      <c r="F32" s="167">
        <f t="shared" si="16"/>
        <v>32.142857142857181</v>
      </c>
      <c r="G32" s="168">
        <f t="shared" si="17"/>
        <v>34.482758620689609</v>
      </c>
      <c r="H32" s="147">
        <f t="shared" si="18"/>
        <v>5.9794672540119928E-2</v>
      </c>
      <c r="I32" s="164">
        <f t="shared" si="18"/>
        <v>0.16459752684908685</v>
      </c>
      <c r="J32" s="164">
        <f t="shared" si="10"/>
        <v>4.8769637584914566E-2</v>
      </c>
      <c r="K32" s="147">
        <f t="shared" si="11"/>
        <v>5.2906347915777981E-2</v>
      </c>
      <c r="L32" s="147">
        <f t="shared" si="12"/>
        <v>5.6757767878995391E-2</v>
      </c>
      <c r="M32" s="147">
        <f t="shared" si="3"/>
        <v>0.13742154108997526</v>
      </c>
      <c r="N32" s="147">
        <f t="shared" si="8"/>
        <v>0.15699253307929928</v>
      </c>
      <c r="O32" s="164">
        <f t="shared" si="13"/>
        <v>0.18530381388708705</v>
      </c>
      <c r="P32" s="147">
        <f t="shared" si="1"/>
        <v>4.0074382093856339E-4</v>
      </c>
      <c r="Q32" s="147">
        <f t="shared" si="4"/>
        <v>4.9664866484389687E-4</v>
      </c>
      <c r="R32" s="147">
        <f t="shared" si="9"/>
        <v>6.2888633397968673E-4</v>
      </c>
      <c r="S32" s="156">
        <f t="shared" si="14"/>
        <v>1.1873890990772233E-2</v>
      </c>
      <c r="T32" s="156">
        <f t="shared" si="2"/>
        <v>1.5963707084268131E-2</v>
      </c>
      <c r="U32" s="165">
        <f t="shared" si="19"/>
        <v>2.1685735654471926E-2</v>
      </c>
      <c r="W32" s="154">
        <f t="shared" si="0"/>
        <v>0.94020532745988006</v>
      </c>
    </row>
    <row r="33" spans="1:23" x14ac:dyDescent="0.25">
      <c r="A33" s="163"/>
      <c r="B33" s="163"/>
      <c r="C33" s="438"/>
      <c r="D33" s="147" t="s">
        <v>201</v>
      </c>
      <c r="E33" s="166">
        <f t="shared" si="15"/>
        <v>25.925925925925888</v>
      </c>
      <c r="F33" s="167">
        <f t="shared" si="16"/>
        <v>28.571428571428608</v>
      </c>
      <c r="G33" s="168">
        <f t="shared" si="17"/>
        <v>31.034482758620644</v>
      </c>
      <c r="H33" s="147">
        <f t="shared" si="18"/>
        <v>5.9794672540119928E-2</v>
      </c>
      <c r="I33" s="164">
        <f t="shared" si="18"/>
        <v>0.16459752684908685</v>
      </c>
      <c r="J33" s="164">
        <f t="shared" si="10"/>
        <v>4.2673432886800235E-2</v>
      </c>
      <c r="K33" s="147">
        <f t="shared" si="11"/>
        <v>4.7027864814024871E-2</v>
      </c>
      <c r="L33" s="147">
        <f t="shared" si="12"/>
        <v>5.1081991091095846E-2</v>
      </c>
      <c r="M33" s="147">
        <f t="shared" si="3"/>
        <v>0.12920446504054156</v>
      </c>
      <c r="N33" s="147">
        <f t="shared" si="8"/>
        <v>0.14760521597257864</v>
      </c>
      <c r="O33" s="164">
        <f t="shared" si="13"/>
        <v>0.17422363301527335</v>
      </c>
      <c r="P33" s="147">
        <f t="shared" si="1"/>
        <v>3.2968379096893222E-4</v>
      </c>
      <c r="Q33" s="147">
        <f t="shared" si="4"/>
        <v>4.1506819605517182E-4</v>
      </c>
      <c r="R33" s="147">
        <f t="shared" si="9"/>
        <v>5.3215405341697328E-4</v>
      </c>
      <c r="S33" s="156">
        <f t="shared" si="14"/>
        <v>8.5473575436389709E-3</v>
      </c>
      <c r="T33" s="156">
        <f t="shared" si="2"/>
        <v>1.1859091315862068E-2</v>
      </c>
      <c r="U33" s="165">
        <f t="shared" si="19"/>
        <v>1.6515125795699147E-2</v>
      </c>
      <c r="W33" s="154">
        <f t="shared" si="0"/>
        <v>0.94020532745988006</v>
      </c>
    </row>
    <row r="34" spans="1:23" x14ac:dyDescent="0.25">
      <c r="A34" s="163"/>
      <c r="B34" s="163"/>
      <c r="C34" s="438"/>
      <c r="D34" s="147" t="s">
        <v>202</v>
      </c>
      <c r="E34" s="166">
        <f t="shared" si="15"/>
        <v>22.222222222222186</v>
      </c>
      <c r="F34" s="167">
        <f t="shared" si="16"/>
        <v>25.000000000000036</v>
      </c>
      <c r="G34" s="168">
        <f t="shared" si="17"/>
        <v>27.58620689655168</v>
      </c>
      <c r="H34" s="147">
        <f t="shared" si="18"/>
        <v>5.9794672540119928E-2</v>
      </c>
      <c r="I34" s="164">
        <f t="shared" si="18"/>
        <v>0.16459752684908685</v>
      </c>
      <c r="J34" s="164">
        <f t="shared" si="10"/>
        <v>3.657722818868591E-2</v>
      </c>
      <c r="K34" s="147">
        <f t="shared" si="11"/>
        <v>4.1149381712271768E-2</v>
      </c>
      <c r="L34" s="147">
        <f t="shared" si="12"/>
        <v>4.5406214303196302E-2</v>
      </c>
      <c r="M34" s="147">
        <f t="shared" si="3"/>
        <v>0.121478726362721</v>
      </c>
      <c r="N34" s="147">
        <f t="shared" si="8"/>
        <v>0.13877921041828462</v>
      </c>
      <c r="O34" s="164">
        <f t="shared" si="13"/>
        <v>0.16380598793037507</v>
      </c>
      <c r="P34" s="147">
        <f t="shared" si="1"/>
        <v>2.6568896283956533E-4</v>
      </c>
      <c r="Q34" s="147">
        <f t="shared" si="4"/>
        <v>3.4146816304145522E-4</v>
      </c>
      <c r="R34" s="147">
        <f t="shared" si="9"/>
        <v>4.4474140093511802E-4</v>
      </c>
      <c r="S34" s="156">
        <f t="shared" si="14"/>
        <v>5.904199174212553E-3</v>
      </c>
      <c r="T34" s="156">
        <f t="shared" si="2"/>
        <v>8.5367040760363933E-3</v>
      </c>
      <c r="U34" s="165">
        <f t="shared" si="19"/>
        <v>1.2268728301658408E-2</v>
      </c>
      <c r="W34" s="154">
        <f t="shared" si="0"/>
        <v>0.94020532745988006</v>
      </c>
    </row>
    <row r="35" spans="1:23" x14ac:dyDescent="0.25">
      <c r="A35" s="163"/>
      <c r="B35" s="163"/>
      <c r="C35" s="438"/>
      <c r="D35" s="147" t="s">
        <v>203</v>
      </c>
      <c r="E35" s="166">
        <f t="shared" si="15"/>
        <v>18.518518518518484</v>
      </c>
      <c r="F35" s="167">
        <f t="shared" si="16"/>
        <v>21.428571428571463</v>
      </c>
      <c r="G35" s="168">
        <f t="shared" si="17"/>
        <v>24.137931034482715</v>
      </c>
      <c r="H35" s="147">
        <f t="shared" si="18"/>
        <v>5.9794672540119928E-2</v>
      </c>
      <c r="I35" s="164">
        <f t="shared" si="18"/>
        <v>0.16459752684908685</v>
      </c>
      <c r="J35" s="164">
        <f t="shared" si="10"/>
        <v>3.0481023490571579E-2</v>
      </c>
      <c r="K35" s="147">
        <f t="shared" si="11"/>
        <v>3.5270898610518665E-2</v>
      </c>
      <c r="L35" s="147">
        <f t="shared" si="12"/>
        <v>3.9730437515296757E-2</v>
      </c>
      <c r="M35" s="147">
        <f t="shared" si="3"/>
        <v>0.11421494569927126</v>
      </c>
      <c r="N35" s="147">
        <f t="shared" si="8"/>
        <v>0.13048095297594689</v>
      </c>
      <c r="O35" s="164">
        <f t="shared" si="13"/>
        <v>0.15401126252196745</v>
      </c>
      <c r="P35" s="147">
        <f t="shared" si="1"/>
        <v>2.0816848192420776E-4</v>
      </c>
      <c r="Q35" s="147">
        <f t="shared" si="4"/>
        <v>2.7518587375672735E-4</v>
      </c>
      <c r="R35" s="147">
        <f t="shared" si="9"/>
        <v>3.6587970518852232E-4</v>
      </c>
      <c r="S35" s="156">
        <f t="shared" si="14"/>
        <v>3.8549718874853218E-3</v>
      </c>
      <c r="T35" s="156">
        <f t="shared" si="2"/>
        <v>5.8968401519298814E-3</v>
      </c>
      <c r="U35" s="165">
        <f t="shared" si="19"/>
        <v>8.8315790907574198E-3</v>
      </c>
      <c r="W35" s="154">
        <f t="shared" si="0"/>
        <v>0.94020532745988006</v>
      </c>
    </row>
    <row r="36" spans="1:23" x14ac:dyDescent="0.25">
      <c r="A36" s="163"/>
      <c r="B36" s="163"/>
      <c r="C36" s="438"/>
      <c r="D36" s="147" t="s">
        <v>204</v>
      </c>
      <c r="E36" s="166">
        <f t="shared" si="15"/>
        <v>14.814814814814779</v>
      </c>
      <c r="F36" s="167">
        <f t="shared" si="16"/>
        <v>17.85714285714289</v>
      </c>
      <c r="G36" s="168">
        <f t="shared" si="17"/>
        <v>20.689655172413751</v>
      </c>
      <c r="H36" s="147">
        <f t="shared" si="18"/>
        <v>5.9794672540119928E-2</v>
      </c>
      <c r="I36" s="164">
        <f t="shared" si="18"/>
        <v>0.16459752684908685</v>
      </c>
      <c r="J36" s="164">
        <f t="shared" si="10"/>
        <v>2.4384818792457255E-2</v>
      </c>
      <c r="K36" s="147">
        <f t="shared" si="11"/>
        <v>2.9392415508765563E-2</v>
      </c>
      <c r="L36" s="147">
        <f t="shared" si="12"/>
        <v>3.4054660727397212E-2</v>
      </c>
      <c r="M36" s="147">
        <f t="shared" si="3"/>
        <v>0.10738550042199575</v>
      </c>
      <c r="N36" s="147">
        <f t="shared" si="8"/>
        <v>0.12267888712002736</v>
      </c>
      <c r="O36" s="164">
        <f t="shared" si="13"/>
        <v>0.14480220951197595</v>
      </c>
      <c r="P36" s="147">
        <f t="shared" si="1"/>
        <v>1.5657689257150066E-4</v>
      </c>
      <c r="Q36" s="147">
        <f t="shared" si="4"/>
        <v>2.1560935378981425E-4</v>
      </c>
      <c r="R36" s="147">
        <f t="shared" si="9"/>
        <v>2.9485889830945623E-4</v>
      </c>
      <c r="S36" s="156">
        <f t="shared" si="14"/>
        <v>2.3196576677259302E-3</v>
      </c>
      <c r="T36" s="156">
        <f t="shared" si="2"/>
        <v>3.8501670319609758E-3</v>
      </c>
      <c r="U36" s="165">
        <f t="shared" si="19"/>
        <v>6.1005289305404616E-3</v>
      </c>
      <c r="W36" s="154">
        <f t="shared" si="0"/>
        <v>0.94020532745988006</v>
      </c>
    </row>
    <row r="37" spans="1:23" x14ac:dyDescent="0.25">
      <c r="A37" s="163"/>
      <c r="B37" s="163"/>
      <c r="C37" s="438"/>
      <c r="D37" s="147" t="s">
        <v>205</v>
      </c>
      <c r="E37" s="166">
        <f t="shared" si="15"/>
        <v>11.111111111111075</v>
      </c>
      <c r="F37" s="167">
        <f t="shared" si="16"/>
        <v>14.285714285714318</v>
      </c>
      <c r="G37" s="168">
        <f t="shared" si="17"/>
        <v>17.241379310344787</v>
      </c>
      <c r="H37" s="147">
        <f t="shared" ref="H37:I52" si="20">H36</f>
        <v>5.9794672540119928E-2</v>
      </c>
      <c r="I37" s="164">
        <f t="shared" si="20"/>
        <v>0.16459752684908685</v>
      </c>
      <c r="J37" s="164">
        <f t="shared" si="10"/>
        <v>1.8288614094342924E-2</v>
      </c>
      <c r="K37" s="147">
        <f t="shared" si="11"/>
        <v>2.351393240701246E-2</v>
      </c>
      <c r="L37" s="147">
        <f t="shared" si="12"/>
        <v>2.8378883939497664E-2</v>
      </c>
      <c r="M37" s="147">
        <f t="shared" si="3"/>
        <v>0.1009644195887056</v>
      </c>
      <c r="N37" s="147">
        <f t="shared" si="8"/>
        <v>0.11534334323709899</v>
      </c>
      <c r="O37" s="164">
        <f t="shared" si="13"/>
        <v>0.13614380881112151</v>
      </c>
      <c r="P37" s="147">
        <f t="shared" si="1"/>
        <v>1.1041082141462857E-4</v>
      </c>
      <c r="Q37" s="147">
        <f t="shared" si="4"/>
        <v>1.6217365046669244E-4</v>
      </c>
      <c r="R37" s="147">
        <f t="shared" si="9"/>
        <v>2.3102325586625138E-4</v>
      </c>
      <c r="S37" s="156">
        <f t="shared" si="14"/>
        <v>1.2267869046069801E-3</v>
      </c>
      <c r="T37" s="156">
        <f t="shared" si="2"/>
        <v>2.3167664352384686E-3</v>
      </c>
      <c r="U37" s="165">
        <f t="shared" si="19"/>
        <v>3.9831595839008764E-3</v>
      </c>
      <c r="W37" s="154">
        <f t="shared" si="0"/>
        <v>0.94020532745988006</v>
      </c>
    </row>
    <row r="38" spans="1:23" x14ac:dyDescent="0.25">
      <c r="A38" s="163"/>
      <c r="B38" s="163"/>
      <c r="C38" s="438"/>
      <c r="D38" s="147" t="s">
        <v>206</v>
      </c>
      <c r="E38" s="166">
        <f t="shared" si="15"/>
        <v>7.407407407407371</v>
      </c>
      <c r="F38" s="167">
        <f t="shared" si="16"/>
        <v>10.714285714285747</v>
      </c>
      <c r="G38" s="168">
        <f t="shared" si="17"/>
        <v>13.793103448275822</v>
      </c>
      <c r="H38" s="147">
        <f t="shared" si="20"/>
        <v>5.9794672540119928E-2</v>
      </c>
      <c r="I38" s="164">
        <f t="shared" si="20"/>
        <v>0.16459752684908685</v>
      </c>
      <c r="J38" s="164">
        <f t="shared" si="10"/>
        <v>1.2192409396228596E-2</v>
      </c>
      <c r="K38" s="147">
        <f t="shared" si="11"/>
        <v>1.7635449305259357E-2</v>
      </c>
      <c r="L38" s="147">
        <f t="shared" si="12"/>
        <v>2.270310715159812E-2</v>
      </c>
      <c r="M38" s="147">
        <f t="shared" si="3"/>
        <v>9.492728518119567E-2</v>
      </c>
      <c r="N38" s="147">
        <f t="shared" si="8"/>
        <v>0.108446425798554</v>
      </c>
      <c r="O38" s="164">
        <f t="shared" si="13"/>
        <v>0.1280031343448958</v>
      </c>
      <c r="P38" s="147">
        <f t="shared" si="1"/>
        <v>6.9205895002170018E-5</v>
      </c>
      <c r="Q38" s="147">
        <f t="shared" si="4"/>
        <v>1.1435739760680058E-4</v>
      </c>
      <c r="R38" s="147">
        <f t="shared" si="9"/>
        <v>1.7376743674606113E-4</v>
      </c>
      <c r="S38" s="156">
        <f t="shared" si="14"/>
        <v>5.1263625927533093E-4</v>
      </c>
      <c r="T38" s="156">
        <f t="shared" si="2"/>
        <v>1.2252578315014387E-3</v>
      </c>
      <c r="U38" s="165">
        <f t="shared" si="19"/>
        <v>2.3967922309801465E-3</v>
      </c>
      <c r="W38" s="154">
        <f t="shared" si="0"/>
        <v>0.94020532745988006</v>
      </c>
    </row>
    <row r="39" spans="1:23" x14ac:dyDescent="0.25">
      <c r="A39" s="163"/>
      <c r="B39" s="163"/>
      <c r="C39" s="438"/>
      <c r="D39" s="147" t="s">
        <v>207</v>
      </c>
      <c r="E39" s="166">
        <f t="shared" si="15"/>
        <v>3.7037037037036673</v>
      </c>
      <c r="F39" s="167">
        <f t="shared" si="16"/>
        <v>7.1428571428571761</v>
      </c>
      <c r="G39" s="168">
        <f t="shared" si="17"/>
        <v>10.344827586206858</v>
      </c>
      <c r="H39" s="147">
        <f t="shared" si="20"/>
        <v>5.9794672540119928E-2</v>
      </c>
      <c r="I39" s="164">
        <f t="shared" si="20"/>
        <v>0.16459752684908685</v>
      </c>
      <c r="J39" s="164">
        <f t="shared" si="10"/>
        <v>6.0962046981142678E-3</v>
      </c>
      <c r="K39" s="147">
        <f t="shared" si="11"/>
        <v>1.1756966203506258E-2</v>
      </c>
      <c r="L39" s="147">
        <f t="shared" si="12"/>
        <v>1.7027330363698575E-2</v>
      </c>
      <c r="M39" s="147">
        <f t="shared" si="3"/>
        <v>8.92511392486635E-2</v>
      </c>
      <c r="N39" s="147">
        <f t="shared" si="8"/>
        <v>0.10196190727978305</v>
      </c>
      <c r="O39" s="164">
        <f t="shared" si="13"/>
        <v>0.12034922884263377</v>
      </c>
      <c r="P39" s="147">
        <f t="shared" si="1"/>
        <v>3.2533875586334504E-5</v>
      </c>
      <c r="Q39" s="147">
        <f t="shared" si="4"/>
        <v>7.1679622976241221E-5</v>
      </c>
      <c r="R39" s="147">
        <f t="shared" si="9"/>
        <v>1.2253280232577069E-4</v>
      </c>
      <c r="S39" s="156">
        <f t="shared" si="14"/>
        <v>1.2049583550494143E-4</v>
      </c>
      <c r="T39" s="156">
        <f t="shared" si="2"/>
        <v>5.1199730697315397E-4</v>
      </c>
      <c r="U39" s="165">
        <f t="shared" si="19"/>
        <v>1.2675807137148645E-3</v>
      </c>
      <c r="W39" s="154">
        <f t="shared" si="0"/>
        <v>0.94020532745988006</v>
      </c>
    </row>
    <row r="40" spans="1:23" x14ac:dyDescent="0.25">
      <c r="A40" s="163"/>
      <c r="B40" s="163"/>
      <c r="C40" s="438"/>
      <c r="D40" s="147" t="s">
        <v>208</v>
      </c>
      <c r="E40" s="166">
        <f t="shared" si="15"/>
        <v>-3.6415315207705135E-14</v>
      </c>
      <c r="F40" s="167">
        <f t="shared" si="16"/>
        <v>3.5714285714286045</v>
      </c>
      <c r="G40" s="168">
        <f t="shared" si="17"/>
        <v>6.8965517241378924</v>
      </c>
      <c r="H40" s="147">
        <f t="shared" si="20"/>
        <v>5.9794672540119928E-2</v>
      </c>
      <c r="I40" s="164">
        <f t="shared" si="20"/>
        <v>0.16459752684908685</v>
      </c>
      <c r="J40" s="164">
        <f t="shared" si="10"/>
        <v>-5.9938708226182065E-17</v>
      </c>
      <c r="K40" s="147">
        <f t="shared" si="11"/>
        <v>5.8784831017531557E-3</v>
      </c>
      <c r="L40" s="147">
        <f t="shared" si="12"/>
        <v>1.1351553575799029E-2</v>
      </c>
      <c r="M40" s="147">
        <f t="shared" si="3"/>
        <v>8.3914396603457023E-2</v>
      </c>
      <c r="N40" s="147">
        <f t="shared" si="8"/>
        <v>9.5865128422422355E-2</v>
      </c>
      <c r="O40" s="164">
        <f t="shared" si="13"/>
        <v>0.11315298611353253</v>
      </c>
      <c r="P40" s="147">
        <f t="shared" si="1"/>
        <v>-3.0075049229829312E-19</v>
      </c>
      <c r="Q40" s="147">
        <f t="shared" si="4"/>
        <v>3.3696781696288967E-5</v>
      </c>
      <c r="R40" s="147">
        <f t="shared" si="9"/>
        <v>7.6803995690185171E-5</v>
      </c>
      <c r="S40" s="156">
        <f t="shared" si="14"/>
        <v>1.0951923975914839E-32</v>
      </c>
      <c r="T40" s="156">
        <f t="shared" si="2"/>
        <v>1.2034564891531886E-4</v>
      </c>
      <c r="U40" s="165">
        <f t="shared" si="19"/>
        <v>5.2968272889782585E-4</v>
      </c>
      <c r="W40" s="154">
        <f t="shared" si="0"/>
        <v>0.94020532745988006</v>
      </c>
    </row>
    <row r="41" spans="1:23" x14ac:dyDescent="0.25">
      <c r="A41" s="163"/>
      <c r="B41" s="163"/>
      <c r="C41" s="438"/>
      <c r="D41" s="147" t="s">
        <v>209</v>
      </c>
      <c r="E41" s="166">
        <f t="shared" si="15"/>
        <v>0</v>
      </c>
      <c r="F41" s="167">
        <f t="shared" si="16"/>
        <v>3.2862601528904634E-14</v>
      </c>
      <c r="G41" s="168">
        <f t="shared" si="17"/>
        <v>3.4482758620689271</v>
      </c>
      <c r="H41" s="147">
        <f t="shared" si="20"/>
        <v>5.9794672540119928E-2</v>
      </c>
      <c r="I41" s="164">
        <f t="shared" si="20"/>
        <v>0.16459752684908685</v>
      </c>
      <c r="J41" s="164">
        <f t="shared" si="10"/>
        <v>0</v>
      </c>
      <c r="K41" s="147">
        <f t="shared" si="11"/>
        <v>5.4091029374847233E-17</v>
      </c>
      <c r="L41" s="147">
        <f t="shared" si="12"/>
        <v>5.6757767878994839E-3</v>
      </c>
      <c r="M41" s="147">
        <f t="shared" si="3"/>
        <v>7.8896762737151557E-2</v>
      </c>
      <c r="N41" s="147">
        <f t="shared" si="8"/>
        <v>9.0132904460387062E-2</v>
      </c>
      <c r="O41" s="164">
        <f t="shared" si="13"/>
        <v>0.10638704036193711</v>
      </c>
      <c r="P41" s="147">
        <f t="shared" si="1"/>
        <v>0</v>
      </c>
      <c r="Q41" s="147">
        <f t="shared" si="4"/>
        <v>2.915218452520819E-19</v>
      </c>
      <c r="R41" s="147">
        <f t="shared" si="9"/>
        <v>3.6105762959058691E-5</v>
      </c>
      <c r="S41" s="156">
        <f t="shared" si="14"/>
        <v>0</v>
      </c>
      <c r="T41" s="156">
        <f t="shared" si="2"/>
        <v>9.5801662374901664E-33</v>
      </c>
      <c r="U41" s="165">
        <f t="shared" si="19"/>
        <v>1.2450263089330444E-4</v>
      </c>
      <c r="W41" s="154">
        <f t="shared" si="0"/>
        <v>0.94020532745988006</v>
      </c>
    </row>
    <row r="42" spans="1:23" x14ac:dyDescent="0.25">
      <c r="A42" s="163"/>
      <c r="B42" s="163"/>
      <c r="C42" s="438"/>
      <c r="D42" s="147" t="s">
        <v>210</v>
      </c>
      <c r="E42" s="166">
        <f t="shared" si="15"/>
        <v>0</v>
      </c>
      <c r="F42" s="167">
        <f t="shared" si="16"/>
        <v>0</v>
      </c>
      <c r="G42" s="168">
        <f t="shared" si="17"/>
        <v>-3.8191672047105385E-14</v>
      </c>
      <c r="H42" s="147">
        <f t="shared" si="20"/>
        <v>5.9794672540119928E-2</v>
      </c>
      <c r="I42" s="164">
        <f t="shared" si="20"/>
        <v>0.16459752684908685</v>
      </c>
      <c r="J42" s="164">
        <f t="shared" si="10"/>
        <v>0</v>
      </c>
      <c r="K42" s="147">
        <f t="shared" si="11"/>
        <v>0</v>
      </c>
      <c r="L42" s="147">
        <f t="shared" si="12"/>
        <v>-6.2862547651849485E-17</v>
      </c>
      <c r="M42" s="147">
        <f t="shared" si="3"/>
        <v>7.4179156644808036E-2</v>
      </c>
      <c r="N42" s="147">
        <f t="shared" si="8"/>
        <v>8.4743436953088308E-2</v>
      </c>
      <c r="O42" s="164">
        <f t="shared" si="13"/>
        <v>0.10002566212098256</v>
      </c>
      <c r="P42" s="147">
        <f t="shared" si="1"/>
        <v>0</v>
      </c>
      <c r="Q42" s="147">
        <f t="shared" si="4"/>
        <v>0</v>
      </c>
      <c r="R42" s="147">
        <f t="shared" si="9"/>
        <v>-3.7598100513474334E-19</v>
      </c>
      <c r="S42" s="156">
        <f t="shared" si="14"/>
        <v>0</v>
      </c>
      <c r="T42" s="156">
        <f t="shared" si="2"/>
        <v>0</v>
      </c>
      <c r="U42" s="165">
        <f t="shared" si="19"/>
        <v>1.4359343244047163E-32</v>
      </c>
      <c r="W42" s="154">
        <f t="shared" si="0"/>
        <v>0.94020532745988006</v>
      </c>
    </row>
    <row r="43" spans="1:23" x14ac:dyDescent="0.25">
      <c r="A43" s="163"/>
      <c r="B43" s="163"/>
      <c r="C43" s="438"/>
      <c r="D43" s="147" t="s">
        <v>211</v>
      </c>
      <c r="E43" s="166">
        <f t="shared" si="15"/>
        <v>0</v>
      </c>
      <c r="F43" s="167">
        <f t="shared" si="16"/>
        <v>0</v>
      </c>
      <c r="G43" s="168">
        <f t="shared" si="17"/>
        <v>0</v>
      </c>
      <c r="H43" s="147">
        <f t="shared" si="20"/>
        <v>5.9794672540119928E-2</v>
      </c>
      <c r="I43" s="164">
        <f t="shared" si="20"/>
        <v>0.16459752684908685</v>
      </c>
      <c r="J43" s="164">
        <f t="shared" si="10"/>
        <v>0</v>
      </c>
      <c r="K43" s="147">
        <f t="shared" si="11"/>
        <v>0</v>
      </c>
      <c r="L43" s="147">
        <f t="shared" si="12"/>
        <v>0</v>
      </c>
      <c r="M43" s="147">
        <f t="shared" si="3"/>
        <v>6.9743638263929472E-2</v>
      </c>
      <c r="N43" s="147">
        <f t="shared" si="8"/>
        <v>7.9676230890554089E-2</v>
      </c>
      <c r="O43" s="164">
        <f t="shared" si="13"/>
        <v>9.4044660408849734E-2</v>
      </c>
      <c r="P43" s="147">
        <f t="shared" si="1"/>
        <v>0</v>
      </c>
      <c r="Q43" s="147">
        <f t="shared" si="4"/>
        <v>0</v>
      </c>
      <c r="R43" s="147">
        <f t="shared" si="9"/>
        <v>0</v>
      </c>
      <c r="S43" s="156">
        <f t="shared" si="14"/>
        <v>0</v>
      </c>
      <c r="T43" s="156">
        <f t="shared" si="2"/>
        <v>0</v>
      </c>
      <c r="U43" s="165">
        <f t="shared" si="19"/>
        <v>0</v>
      </c>
      <c r="W43" s="154">
        <f t="shared" si="0"/>
        <v>0.94020532745988006</v>
      </c>
    </row>
    <row r="44" spans="1:23" x14ac:dyDescent="0.25">
      <c r="A44" s="163"/>
      <c r="B44" s="163"/>
      <c r="C44" s="438"/>
      <c r="D44" s="147" t="s">
        <v>212</v>
      </c>
      <c r="E44" s="166">
        <f t="shared" si="15"/>
        <v>0</v>
      </c>
      <c r="F44" s="167">
        <f t="shared" si="16"/>
        <v>0</v>
      </c>
      <c r="G44" s="168">
        <f t="shared" si="17"/>
        <v>0</v>
      </c>
      <c r="H44" s="147">
        <f t="shared" si="20"/>
        <v>5.9794672540119928E-2</v>
      </c>
      <c r="I44" s="164">
        <f t="shared" si="20"/>
        <v>0.16459752684908685</v>
      </c>
      <c r="J44" s="164">
        <f t="shared" si="10"/>
        <v>0</v>
      </c>
      <c r="K44" s="147">
        <f t="shared" si="11"/>
        <v>0</v>
      </c>
      <c r="L44" s="147">
        <f t="shared" si="12"/>
        <v>0</v>
      </c>
      <c r="M44" s="147">
        <f t="shared" si="3"/>
        <v>6.5573340252181228E-2</v>
      </c>
      <c r="N44" s="147">
        <f t="shared" si="8"/>
        <v>7.4912016755222424E-2</v>
      </c>
      <c r="O44" s="164">
        <f t="shared" si="13"/>
        <v>8.8421290735555783E-2</v>
      </c>
      <c r="P44" s="147">
        <f t="shared" si="1"/>
        <v>0</v>
      </c>
      <c r="Q44" s="147">
        <f t="shared" si="4"/>
        <v>0</v>
      </c>
      <c r="R44" s="147">
        <f t="shared" si="9"/>
        <v>0</v>
      </c>
      <c r="S44" s="156">
        <f t="shared" si="14"/>
        <v>0</v>
      </c>
      <c r="T44" s="156">
        <f t="shared" si="2"/>
        <v>0</v>
      </c>
      <c r="U44" s="165">
        <f t="shared" si="19"/>
        <v>0</v>
      </c>
      <c r="W44" s="154">
        <f t="shared" si="0"/>
        <v>0.94020532745988006</v>
      </c>
    </row>
    <row r="45" spans="1:23" x14ac:dyDescent="0.25">
      <c r="A45" s="163"/>
      <c r="B45" s="163"/>
      <c r="C45" s="438"/>
      <c r="D45" s="147" t="s">
        <v>213</v>
      </c>
      <c r="E45" s="166">
        <f t="shared" si="15"/>
        <v>0</v>
      </c>
      <c r="F45" s="167">
        <f t="shared" si="16"/>
        <v>0</v>
      </c>
      <c r="G45" s="168">
        <f t="shared" si="17"/>
        <v>0</v>
      </c>
      <c r="H45" s="147">
        <f t="shared" si="20"/>
        <v>5.9794672540119928E-2</v>
      </c>
      <c r="I45" s="164">
        <f t="shared" si="20"/>
        <v>0.16459752684908685</v>
      </c>
      <c r="J45" s="164">
        <f t="shared" si="10"/>
        <v>0</v>
      </c>
      <c r="K45" s="147">
        <f t="shared" si="11"/>
        <v>0</v>
      </c>
      <c r="L45" s="147">
        <f t="shared" si="12"/>
        <v>0</v>
      </c>
      <c r="M45" s="147">
        <f t="shared" si="3"/>
        <v>6.1652403844440186E-2</v>
      </c>
      <c r="N45" s="147">
        <f t="shared" si="8"/>
        <v>7.0432677244023925E-2</v>
      </c>
      <c r="O45" s="164">
        <f t="shared" si="13"/>
        <v>8.3134168610448478E-2</v>
      </c>
      <c r="P45" s="147">
        <f t="shared" si="1"/>
        <v>0</v>
      </c>
      <c r="Q45" s="147">
        <f t="shared" si="4"/>
        <v>0</v>
      </c>
      <c r="R45" s="147">
        <f t="shared" si="9"/>
        <v>0</v>
      </c>
      <c r="S45" s="156">
        <f t="shared" si="14"/>
        <v>0</v>
      </c>
      <c r="T45" s="156">
        <f t="shared" si="2"/>
        <v>0</v>
      </c>
      <c r="U45" s="165">
        <f t="shared" si="19"/>
        <v>0</v>
      </c>
      <c r="W45" s="154">
        <f t="shared" si="0"/>
        <v>0.94020532745988006</v>
      </c>
    </row>
    <row r="46" spans="1:23" x14ac:dyDescent="0.25">
      <c r="A46" s="163"/>
      <c r="B46" s="163"/>
      <c r="C46" s="438"/>
      <c r="D46" s="147" t="s">
        <v>214</v>
      </c>
      <c r="E46" s="166">
        <f t="shared" si="15"/>
        <v>0</v>
      </c>
      <c r="F46" s="167">
        <f t="shared" si="16"/>
        <v>0</v>
      </c>
      <c r="G46" s="168">
        <f t="shared" si="17"/>
        <v>0</v>
      </c>
      <c r="H46" s="147">
        <f t="shared" si="20"/>
        <v>5.9794672540119928E-2</v>
      </c>
      <c r="I46" s="164">
        <f t="shared" si="20"/>
        <v>0.16459752684908685</v>
      </c>
      <c r="J46" s="164">
        <f t="shared" si="10"/>
        <v>0</v>
      </c>
      <c r="K46" s="147">
        <f t="shared" si="11"/>
        <v>0</v>
      </c>
      <c r="L46" s="147">
        <f t="shared" si="12"/>
        <v>0</v>
      </c>
      <c r="M46" s="147">
        <f t="shared" si="3"/>
        <v>5.7965918545250655E-2</v>
      </c>
      <c r="N46" s="147">
        <f t="shared" si="8"/>
        <v>6.6221178372093556E-2</v>
      </c>
      <c r="O46" s="164">
        <f t="shared" si="13"/>
        <v>7.8163188221491597E-2</v>
      </c>
      <c r="P46" s="147">
        <f t="shared" si="1"/>
        <v>0</v>
      </c>
      <c r="Q46" s="147">
        <f t="shared" si="4"/>
        <v>0</v>
      </c>
      <c r="R46" s="147">
        <f t="shared" si="9"/>
        <v>0</v>
      </c>
      <c r="S46" s="156">
        <f t="shared" si="14"/>
        <v>0</v>
      </c>
      <c r="T46" s="156">
        <f t="shared" si="2"/>
        <v>0</v>
      </c>
      <c r="U46" s="165">
        <f t="shared" si="19"/>
        <v>0</v>
      </c>
      <c r="W46" s="154">
        <f t="shared" si="0"/>
        <v>0.94020532745988006</v>
      </c>
    </row>
    <row r="47" spans="1:23" x14ac:dyDescent="0.25">
      <c r="A47" s="163"/>
      <c r="B47" s="163"/>
      <c r="C47" s="438"/>
      <c r="D47" s="147" t="s">
        <v>215</v>
      </c>
      <c r="E47" s="166">
        <f t="shared" si="15"/>
        <v>0</v>
      </c>
      <c r="F47" s="167">
        <f t="shared" si="16"/>
        <v>0</v>
      </c>
      <c r="G47" s="168">
        <f t="shared" si="17"/>
        <v>0</v>
      </c>
      <c r="H47" s="147">
        <f t="shared" si="20"/>
        <v>5.9794672540119928E-2</v>
      </c>
      <c r="I47" s="164">
        <f t="shared" si="20"/>
        <v>0.16459752684908685</v>
      </c>
      <c r="J47" s="164">
        <f t="shared" si="10"/>
        <v>0</v>
      </c>
      <c r="K47" s="147">
        <f t="shared" si="11"/>
        <v>0</v>
      </c>
      <c r="L47" s="147">
        <f t="shared" si="12"/>
        <v>0</v>
      </c>
      <c r="M47" s="147">
        <f t="shared" si="3"/>
        <v>5.4499865427350129E-2</v>
      </c>
      <c r="N47" s="147">
        <f t="shared" si="8"/>
        <v>6.226150469611335E-2</v>
      </c>
      <c r="O47" s="164">
        <f t="shared" si="13"/>
        <v>7.3489445977095752E-2</v>
      </c>
      <c r="P47" s="147">
        <f t="shared" si="1"/>
        <v>0</v>
      </c>
      <c r="Q47" s="147">
        <f t="shared" si="4"/>
        <v>0</v>
      </c>
      <c r="R47" s="147">
        <f t="shared" si="9"/>
        <v>0</v>
      </c>
      <c r="S47" s="156">
        <f t="shared" si="14"/>
        <v>0</v>
      </c>
      <c r="T47" s="156">
        <f t="shared" si="2"/>
        <v>0</v>
      </c>
      <c r="U47" s="165">
        <f t="shared" si="19"/>
        <v>0</v>
      </c>
      <c r="W47" s="154">
        <f t="shared" si="0"/>
        <v>0.94020532745988006</v>
      </c>
    </row>
    <row r="48" spans="1:23" x14ac:dyDescent="0.25">
      <c r="A48" s="163"/>
      <c r="B48" s="163"/>
      <c r="C48" s="438"/>
      <c r="D48" s="147" t="s">
        <v>216</v>
      </c>
      <c r="E48" s="166">
        <f t="shared" si="15"/>
        <v>0</v>
      </c>
      <c r="F48" s="167">
        <f t="shared" si="16"/>
        <v>0</v>
      </c>
      <c r="G48" s="168">
        <f t="shared" si="17"/>
        <v>0</v>
      </c>
      <c r="H48" s="147">
        <f t="shared" si="20"/>
        <v>5.9794672540119928E-2</v>
      </c>
      <c r="I48" s="164">
        <f t="shared" si="20"/>
        <v>0.16459752684908685</v>
      </c>
      <c r="J48" s="164">
        <f t="shared" si="10"/>
        <v>0</v>
      </c>
      <c r="K48" s="147">
        <f t="shared" si="11"/>
        <v>0</v>
      </c>
      <c r="L48" s="147">
        <f t="shared" si="12"/>
        <v>0</v>
      </c>
      <c r="M48" s="147">
        <f t="shared" si="3"/>
        <v>5.1241063820641121E-2</v>
      </c>
      <c r="N48" s="147">
        <f t="shared" si="8"/>
        <v>5.8538598410954115E-2</v>
      </c>
      <c r="O48" s="164">
        <f t="shared" si="13"/>
        <v>6.909516861974048E-2</v>
      </c>
      <c r="P48" s="147">
        <f t="shared" si="1"/>
        <v>0</v>
      </c>
      <c r="Q48" s="147">
        <f t="shared" si="4"/>
        <v>0</v>
      </c>
      <c r="R48" s="147">
        <f t="shared" si="9"/>
        <v>0</v>
      </c>
      <c r="S48" s="156">
        <f t="shared" si="14"/>
        <v>0</v>
      </c>
      <c r="T48" s="156">
        <f t="shared" si="2"/>
        <v>0</v>
      </c>
      <c r="U48" s="165">
        <f t="shared" si="19"/>
        <v>0</v>
      </c>
      <c r="W48" s="154">
        <f t="shared" si="0"/>
        <v>0.94020532745988006</v>
      </c>
    </row>
    <row r="49" spans="1:23" x14ac:dyDescent="0.25">
      <c r="A49" s="163"/>
      <c r="B49" s="163"/>
      <c r="C49" s="438"/>
      <c r="D49" s="147" t="s">
        <v>217</v>
      </c>
      <c r="E49" s="166">
        <f t="shared" si="15"/>
        <v>0</v>
      </c>
      <c r="F49" s="167">
        <f t="shared" si="16"/>
        <v>0</v>
      </c>
      <c r="G49" s="168">
        <f t="shared" si="17"/>
        <v>0</v>
      </c>
      <c r="H49" s="147">
        <f t="shared" si="20"/>
        <v>5.9794672540119928E-2</v>
      </c>
      <c r="I49" s="164">
        <f t="shared" si="20"/>
        <v>0.16459752684908685</v>
      </c>
      <c r="J49" s="164">
        <f t="shared" si="10"/>
        <v>0</v>
      </c>
      <c r="K49" s="147">
        <f t="shared" si="11"/>
        <v>0</v>
      </c>
      <c r="L49" s="147">
        <f t="shared" si="12"/>
        <v>0</v>
      </c>
      <c r="M49" s="147">
        <f t="shared" si="3"/>
        <v>4.8177121188878499E-2</v>
      </c>
      <c r="N49" s="147">
        <f t="shared" si="8"/>
        <v>5.5038302088013531E-2</v>
      </c>
      <c r="O49" s="164">
        <f t="shared" si="13"/>
        <v>6.4963645638018722E-2</v>
      </c>
      <c r="P49" s="147">
        <f t="shared" si="1"/>
        <v>0</v>
      </c>
      <c r="Q49" s="147">
        <f t="shared" si="4"/>
        <v>0</v>
      </c>
      <c r="R49" s="147">
        <f t="shared" si="9"/>
        <v>0</v>
      </c>
      <c r="S49" s="156">
        <f t="shared" si="14"/>
        <v>0</v>
      </c>
      <c r="T49" s="156">
        <f t="shared" si="2"/>
        <v>0</v>
      </c>
      <c r="U49" s="165">
        <f t="shared" si="19"/>
        <v>0</v>
      </c>
      <c r="W49" s="154">
        <f t="shared" si="0"/>
        <v>0.94020532745988006</v>
      </c>
    </row>
    <row r="50" spans="1:23" x14ac:dyDescent="0.25">
      <c r="A50" s="163"/>
      <c r="B50" s="163"/>
      <c r="C50" s="438"/>
      <c r="D50" s="147" t="s">
        <v>218</v>
      </c>
      <c r="E50" s="166">
        <f t="shared" si="15"/>
        <v>0</v>
      </c>
      <c r="F50" s="167">
        <f t="shared" si="16"/>
        <v>0</v>
      </c>
      <c r="G50" s="168">
        <f t="shared" si="17"/>
        <v>0</v>
      </c>
      <c r="H50" s="147">
        <f t="shared" si="20"/>
        <v>5.9794672540119928E-2</v>
      </c>
      <c r="I50" s="164">
        <f t="shared" si="20"/>
        <v>0.16459752684908685</v>
      </c>
      <c r="J50" s="164">
        <f t="shared" si="10"/>
        <v>0</v>
      </c>
      <c r="K50" s="147">
        <f t="shared" si="11"/>
        <v>0</v>
      </c>
      <c r="L50" s="147">
        <f t="shared" si="12"/>
        <v>0</v>
      </c>
      <c r="M50" s="147">
        <f t="shared" si="3"/>
        <v>4.5296386003463834E-2</v>
      </c>
      <c r="N50" s="147">
        <f t="shared" si="8"/>
        <v>5.1747304837496559E-2</v>
      </c>
      <c r="O50" s="164">
        <f t="shared" si="13"/>
        <v>6.1079165720081E-2</v>
      </c>
      <c r="P50" s="147">
        <f t="shared" si="1"/>
        <v>0</v>
      </c>
      <c r="Q50" s="147">
        <f t="shared" si="4"/>
        <v>0</v>
      </c>
      <c r="R50" s="147">
        <f t="shared" si="9"/>
        <v>0</v>
      </c>
      <c r="S50" s="156">
        <f t="shared" si="14"/>
        <v>0</v>
      </c>
      <c r="T50" s="156">
        <f t="shared" si="2"/>
        <v>0</v>
      </c>
      <c r="U50" s="165">
        <f t="shared" si="19"/>
        <v>0</v>
      </c>
      <c r="W50" s="154">
        <f t="shared" si="0"/>
        <v>0.94020532745988006</v>
      </c>
    </row>
    <row r="51" spans="1:23" x14ac:dyDescent="0.25">
      <c r="A51" s="163"/>
      <c r="B51" s="163"/>
      <c r="C51" s="438"/>
      <c r="D51" s="147" t="s">
        <v>219</v>
      </c>
      <c r="E51" s="166">
        <f t="shared" si="15"/>
        <v>0</v>
      </c>
      <c r="F51" s="167">
        <f t="shared" si="16"/>
        <v>0</v>
      </c>
      <c r="G51" s="168">
        <f t="shared" si="17"/>
        <v>0</v>
      </c>
      <c r="H51" s="147">
        <f t="shared" si="20"/>
        <v>5.9794672540119928E-2</v>
      </c>
      <c r="I51" s="164">
        <f t="shared" si="20"/>
        <v>0.16459752684908685</v>
      </c>
      <c r="J51" s="164">
        <f t="shared" si="10"/>
        <v>0</v>
      </c>
      <c r="K51" s="147">
        <f t="shared" si="11"/>
        <v>0</v>
      </c>
      <c r="L51" s="147">
        <f t="shared" si="12"/>
        <v>0</v>
      </c>
      <c r="M51" s="147">
        <f t="shared" si="3"/>
        <v>4.258790343513584E-2</v>
      </c>
      <c r="N51" s="147">
        <f t="shared" si="8"/>
        <v>4.8653091689904684E-2</v>
      </c>
      <c r="O51" s="164">
        <f t="shared" si="13"/>
        <v>5.7426957006825034E-2</v>
      </c>
      <c r="P51" s="147">
        <f t="shared" si="1"/>
        <v>0</v>
      </c>
      <c r="Q51" s="147">
        <f t="shared" si="4"/>
        <v>0</v>
      </c>
      <c r="R51" s="147">
        <f t="shared" si="9"/>
        <v>0</v>
      </c>
      <c r="S51" s="156">
        <f t="shared" si="14"/>
        <v>0</v>
      </c>
      <c r="T51" s="156">
        <f t="shared" si="2"/>
        <v>0</v>
      </c>
      <c r="U51" s="165">
        <f t="shared" si="19"/>
        <v>0</v>
      </c>
      <c r="W51" s="154">
        <f t="shared" si="0"/>
        <v>0.94020532745988006</v>
      </c>
    </row>
    <row r="52" spans="1:23" x14ac:dyDescent="0.25">
      <c r="A52" s="163"/>
      <c r="B52" s="163"/>
      <c r="C52" s="438"/>
      <c r="D52" s="147" t="s">
        <v>220</v>
      </c>
      <c r="E52" s="166">
        <f t="shared" si="15"/>
        <v>0</v>
      </c>
      <c r="F52" s="167">
        <f t="shared" si="16"/>
        <v>0</v>
      </c>
      <c r="G52" s="168">
        <f t="shared" si="17"/>
        <v>0</v>
      </c>
      <c r="H52" s="147">
        <f t="shared" si="20"/>
        <v>5.9794672540119928E-2</v>
      </c>
      <c r="I52" s="164">
        <f t="shared" si="20"/>
        <v>0.16459752684908685</v>
      </c>
      <c r="J52" s="164">
        <f t="shared" si="10"/>
        <v>0</v>
      </c>
      <c r="K52" s="147">
        <f t="shared" si="11"/>
        <v>0</v>
      </c>
      <c r="L52" s="147">
        <f t="shared" si="12"/>
        <v>0</v>
      </c>
      <c r="M52" s="147">
        <f t="shared" si="3"/>
        <v>4.0041373695061645E-2</v>
      </c>
      <c r="N52" s="147">
        <f t="shared" si="8"/>
        <v>4.5743896004242404E-2</v>
      </c>
      <c r="O52" s="164">
        <f t="shared" si="13"/>
        <v>5.3993130917626385E-2</v>
      </c>
      <c r="P52" s="147">
        <f t="shared" si="1"/>
        <v>0</v>
      </c>
      <c r="Q52" s="147">
        <f t="shared" si="4"/>
        <v>0</v>
      </c>
      <c r="R52" s="147">
        <f t="shared" si="9"/>
        <v>0</v>
      </c>
      <c r="S52" s="156">
        <f t="shared" si="14"/>
        <v>0</v>
      </c>
      <c r="T52" s="156">
        <f t="shared" si="2"/>
        <v>0</v>
      </c>
      <c r="U52" s="165">
        <f t="shared" si="19"/>
        <v>0</v>
      </c>
      <c r="W52" s="154">
        <f t="shared" si="0"/>
        <v>0.94020532745988006</v>
      </c>
    </row>
    <row r="53" spans="1:23" x14ac:dyDescent="0.25">
      <c r="A53" s="163"/>
      <c r="B53" s="163"/>
      <c r="C53" s="438"/>
      <c r="D53" s="147" t="s">
        <v>221</v>
      </c>
      <c r="E53" s="166">
        <f t="shared" si="15"/>
        <v>0</v>
      </c>
      <c r="F53" s="167">
        <f t="shared" si="16"/>
        <v>0</v>
      </c>
      <c r="G53" s="168">
        <f t="shared" si="17"/>
        <v>0</v>
      </c>
      <c r="H53" s="147">
        <f t="shared" ref="H53:I59" si="21">H52</f>
        <v>5.9794672540119928E-2</v>
      </c>
      <c r="I53" s="164">
        <f t="shared" si="21"/>
        <v>0.16459752684908685</v>
      </c>
      <c r="J53" s="164">
        <f t="shared" si="10"/>
        <v>0</v>
      </c>
      <c r="K53" s="147">
        <f t="shared" si="11"/>
        <v>0</v>
      </c>
      <c r="L53" s="147">
        <f t="shared" si="12"/>
        <v>0</v>
      </c>
      <c r="M53" s="147">
        <f t="shared" si="3"/>
        <v>3.7647112866908861E-2</v>
      </c>
      <c r="N53" s="147">
        <f t="shared" si="8"/>
        <v>4.300865472195943E-2</v>
      </c>
      <c r="O53" s="164">
        <f t="shared" si="13"/>
        <v>5.0764629334991089E-2</v>
      </c>
      <c r="P53" s="147">
        <f t="shared" si="1"/>
        <v>0</v>
      </c>
      <c r="Q53" s="147">
        <f t="shared" si="4"/>
        <v>0</v>
      </c>
      <c r="R53" s="147">
        <f t="shared" si="9"/>
        <v>0</v>
      </c>
      <c r="S53" s="156">
        <f t="shared" si="14"/>
        <v>0</v>
      </c>
      <c r="T53" s="156">
        <f t="shared" si="2"/>
        <v>0</v>
      </c>
      <c r="U53" s="165">
        <f t="shared" si="19"/>
        <v>0</v>
      </c>
      <c r="W53" s="154">
        <f t="shared" si="0"/>
        <v>0.94020532745988006</v>
      </c>
    </row>
    <row r="54" spans="1:23" x14ac:dyDescent="0.25">
      <c r="A54" s="163"/>
      <c r="B54" s="163"/>
      <c r="C54" s="438"/>
      <c r="D54" s="147" t="s">
        <v>222</v>
      </c>
      <c r="E54" s="166">
        <f t="shared" si="15"/>
        <v>0</v>
      </c>
      <c r="F54" s="167">
        <f t="shared" si="16"/>
        <v>0</v>
      </c>
      <c r="G54" s="168">
        <f t="shared" si="17"/>
        <v>0</v>
      </c>
      <c r="H54" s="147">
        <f t="shared" si="21"/>
        <v>5.9794672540119928E-2</v>
      </c>
      <c r="I54" s="164">
        <f t="shared" si="21"/>
        <v>0.16459752684908685</v>
      </c>
      <c r="J54" s="164">
        <f t="shared" si="10"/>
        <v>0</v>
      </c>
      <c r="K54" s="147">
        <f t="shared" si="11"/>
        <v>0</v>
      </c>
      <c r="L54" s="147">
        <f t="shared" si="12"/>
        <v>0</v>
      </c>
      <c r="M54" s="147">
        <f t="shared" si="3"/>
        <v>3.5396016080951109E-2</v>
      </c>
      <c r="N54" s="147">
        <f t="shared" si="8"/>
        <v>4.0436966296468785E-2</v>
      </c>
      <c r="O54" s="164">
        <f t="shared" si="13"/>
        <v>4.7729174947284729E-2</v>
      </c>
      <c r="P54" s="147">
        <f t="shared" si="1"/>
        <v>0</v>
      </c>
      <c r="Q54" s="147">
        <f t="shared" si="4"/>
        <v>0</v>
      </c>
      <c r="R54" s="147">
        <f t="shared" si="9"/>
        <v>0</v>
      </c>
      <c r="S54" s="156">
        <f t="shared" si="14"/>
        <v>0</v>
      </c>
      <c r="T54" s="156">
        <f t="shared" si="2"/>
        <v>0</v>
      </c>
      <c r="U54" s="165">
        <f t="shared" si="19"/>
        <v>0</v>
      </c>
      <c r="W54" s="154">
        <f t="shared" si="0"/>
        <v>0.94020532745988006</v>
      </c>
    </row>
    <row r="55" spans="1:23" x14ac:dyDescent="0.25">
      <c r="A55" s="163"/>
      <c r="B55" s="163"/>
      <c r="C55" s="438"/>
      <c r="D55" s="147" t="s">
        <v>223</v>
      </c>
      <c r="E55" s="166">
        <f t="shared" si="15"/>
        <v>0</v>
      </c>
      <c r="F55" s="167">
        <f t="shared" si="16"/>
        <v>0</v>
      </c>
      <c r="G55" s="168">
        <f t="shared" si="17"/>
        <v>0</v>
      </c>
      <c r="H55" s="147">
        <f t="shared" si="21"/>
        <v>5.9794672540119928E-2</v>
      </c>
      <c r="I55" s="164">
        <f t="shared" si="21"/>
        <v>0.16459752684908685</v>
      </c>
      <c r="J55" s="164">
        <f t="shared" si="10"/>
        <v>0</v>
      </c>
      <c r="K55" s="147">
        <f t="shared" si="11"/>
        <v>0</v>
      </c>
      <c r="L55" s="147">
        <f t="shared" si="12"/>
        <v>0</v>
      </c>
      <c r="M55" s="147">
        <f t="shared" si="3"/>
        <v>3.3279522890165815E-2</v>
      </c>
      <c r="N55" s="147">
        <f t="shared" si="8"/>
        <v>3.8019051138255565E-2</v>
      </c>
      <c r="O55" s="164">
        <f t="shared" si="13"/>
        <v>4.487522456070174E-2</v>
      </c>
      <c r="P55" s="147">
        <f t="shared" si="1"/>
        <v>0</v>
      </c>
      <c r="Q55" s="147">
        <f t="shared" si="4"/>
        <v>0</v>
      </c>
      <c r="R55" s="147">
        <f t="shared" si="9"/>
        <v>0</v>
      </c>
      <c r="S55" s="156">
        <f t="shared" si="14"/>
        <v>0</v>
      </c>
      <c r="T55" s="156">
        <f t="shared" si="2"/>
        <v>0</v>
      </c>
      <c r="U55" s="165">
        <f t="shared" si="19"/>
        <v>0</v>
      </c>
      <c r="W55" s="154">
        <f t="shared" si="0"/>
        <v>0.94020532745988006</v>
      </c>
    </row>
    <row r="56" spans="1:23" x14ac:dyDescent="0.25">
      <c r="A56" s="163"/>
      <c r="B56" s="163"/>
      <c r="C56" s="438"/>
      <c r="D56" s="147" t="s">
        <v>224</v>
      </c>
      <c r="E56" s="166">
        <f t="shared" si="15"/>
        <v>0</v>
      </c>
      <c r="F56" s="167">
        <f t="shared" si="16"/>
        <v>0</v>
      </c>
      <c r="G56" s="168">
        <f t="shared" si="17"/>
        <v>0</v>
      </c>
      <c r="H56" s="147">
        <f t="shared" si="21"/>
        <v>5.9794672540119928E-2</v>
      </c>
      <c r="I56" s="164">
        <f t="shared" si="21"/>
        <v>0.16459752684908685</v>
      </c>
      <c r="J56" s="164">
        <f t="shared" si="10"/>
        <v>0</v>
      </c>
      <c r="K56" s="147">
        <f t="shared" si="11"/>
        <v>0</v>
      </c>
      <c r="L56" s="147">
        <f t="shared" si="12"/>
        <v>0</v>
      </c>
      <c r="M56" s="147">
        <f t="shared" si="3"/>
        <v>3.1289584716656924E-2</v>
      </c>
      <c r="N56" s="147">
        <f t="shared" si="8"/>
        <v>3.5745714425157497E-2</v>
      </c>
      <c r="O56" s="164">
        <f t="shared" si="13"/>
        <v>4.2191925202930233E-2</v>
      </c>
      <c r="P56" s="147">
        <f t="shared" si="1"/>
        <v>0</v>
      </c>
      <c r="Q56" s="147">
        <f t="shared" si="4"/>
        <v>0</v>
      </c>
      <c r="R56" s="147">
        <f t="shared" si="9"/>
        <v>0</v>
      </c>
      <c r="S56" s="156">
        <f t="shared" si="14"/>
        <v>0</v>
      </c>
      <c r="T56" s="156">
        <f t="shared" si="2"/>
        <v>0</v>
      </c>
      <c r="U56" s="165">
        <f t="shared" si="19"/>
        <v>0</v>
      </c>
      <c r="W56" s="154">
        <f t="shared" si="0"/>
        <v>0.94020532745988006</v>
      </c>
    </row>
    <row r="57" spans="1:23" x14ac:dyDescent="0.25">
      <c r="A57" s="163"/>
      <c r="B57" s="163"/>
      <c r="C57" s="438"/>
      <c r="D57" s="147" t="s">
        <v>225</v>
      </c>
      <c r="E57" s="166">
        <f t="shared" si="15"/>
        <v>0</v>
      </c>
      <c r="F57" s="167">
        <f t="shared" si="16"/>
        <v>0</v>
      </c>
      <c r="G57" s="168">
        <f t="shared" si="17"/>
        <v>0</v>
      </c>
      <c r="H57" s="147">
        <f t="shared" si="21"/>
        <v>5.9794672540119928E-2</v>
      </c>
      <c r="I57" s="164">
        <f t="shared" si="21"/>
        <v>0.16459752684908685</v>
      </c>
      <c r="J57" s="164">
        <f t="shared" si="10"/>
        <v>0</v>
      </c>
      <c r="K57" s="147">
        <f t="shared" si="11"/>
        <v>0</v>
      </c>
      <c r="L57" s="147">
        <f t="shared" si="12"/>
        <v>0</v>
      </c>
      <c r="M57" s="147">
        <f t="shared" si="3"/>
        <v>2.9418634244608083E-2</v>
      </c>
      <c r="N57" s="147">
        <f t="shared" si="8"/>
        <v>3.3608311136392566E-2</v>
      </c>
      <c r="O57" s="164">
        <f t="shared" si="13"/>
        <v>3.9669072851583789E-2</v>
      </c>
      <c r="P57" s="147">
        <f t="shared" si="1"/>
        <v>0</v>
      </c>
      <c r="Q57" s="147">
        <f t="shared" si="4"/>
        <v>0</v>
      </c>
      <c r="R57" s="147">
        <f t="shared" si="9"/>
        <v>0</v>
      </c>
      <c r="S57" s="156">
        <f t="shared" si="14"/>
        <v>0</v>
      </c>
      <c r="T57" s="156">
        <f t="shared" si="2"/>
        <v>0</v>
      </c>
      <c r="U57" s="165">
        <f t="shared" si="19"/>
        <v>0</v>
      </c>
      <c r="W57" s="154">
        <f t="shared" si="0"/>
        <v>0.94020532745988006</v>
      </c>
    </row>
    <row r="58" spans="1:23" x14ac:dyDescent="0.25">
      <c r="A58" s="163"/>
      <c r="B58" s="163"/>
      <c r="C58" s="438"/>
      <c r="D58" s="147" t="s">
        <v>226</v>
      </c>
      <c r="E58" s="166">
        <f t="shared" si="15"/>
        <v>0</v>
      </c>
      <c r="F58" s="167">
        <f t="shared" si="16"/>
        <v>0</v>
      </c>
      <c r="G58" s="168">
        <f t="shared" si="17"/>
        <v>0</v>
      </c>
      <c r="H58" s="147">
        <f t="shared" si="21"/>
        <v>5.9794672540119928E-2</v>
      </c>
      <c r="I58" s="164">
        <f t="shared" si="21"/>
        <v>0.16459752684908685</v>
      </c>
      <c r="J58" s="164">
        <f t="shared" si="10"/>
        <v>0</v>
      </c>
      <c r="K58" s="147">
        <f t="shared" si="11"/>
        <v>0</v>
      </c>
      <c r="L58" s="147">
        <f t="shared" si="12"/>
        <v>0</v>
      </c>
      <c r="M58" s="147">
        <f t="shared" si="3"/>
        <v>2.7659556643374182E-2</v>
      </c>
      <c r="N58" s="147">
        <f t="shared" si="8"/>
        <v>3.1598713177365505E-2</v>
      </c>
      <c r="O58" s="164">
        <f t="shared" si="13"/>
        <v>3.7297073630453176E-2</v>
      </c>
      <c r="P58" s="147">
        <f t="shared" si="1"/>
        <v>0</v>
      </c>
      <c r="Q58" s="147">
        <f t="shared" si="4"/>
        <v>0</v>
      </c>
      <c r="R58" s="147">
        <f t="shared" si="9"/>
        <v>0</v>
      </c>
      <c r="S58" s="156">
        <f t="shared" si="14"/>
        <v>0</v>
      </c>
      <c r="T58" s="156">
        <f t="shared" si="2"/>
        <v>0</v>
      </c>
      <c r="U58" s="165">
        <f t="shared" si="19"/>
        <v>0</v>
      </c>
      <c r="W58" s="154">
        <f t="shared" si="0"/>
        <v>0.94020532745988006</v>
      </c>
    </row>
    <row r="59" spans="1:23" x14ac:dyDescent="0.25">
      <c r="A59" s="163"/>
      <c r="B59" s="163"/>
      <c r="C59" s="438"/>
      <c r="D59" s="147" t="s">
        <v>227</v>
      </c>
      <c r="E59" s="166">
        <f t="shared" si="15"/>
        <v>0</v>
      </c>
      <c r="F59" s="167">
        <f t="shared" si="16"/>
        <v>0</v>
      </c>
      <c r="G59" s="168">
        <f t="shared" si="17"/>
        <v>0</v>
      </c>
      <c r="H59" s="147">
        <f t="shared" si="21"/>
        <v>5.9794672540119928E-2</v>
      </c>
      <c r="I59" s="164">
        <f t="shared" si="21"/>
        <v>0.16459752684908685</v>
      </c>
      <c r="J59" s="147">
        <f t="shared" si="10"/>
        <v>0</v>
      </c>
      <c r="K59" s="147">
        <f t="shared" si="11"/>
        <v>0</v>
      </c>
      <c r="L59" s="147">
        <f t="shared" si="12"/>
        <v>0</v>
      </c>
      <c r="M59" s="147">
        <f t="shared" si="3"/>
        <v>2.6005662511278723E-2</v>
      </c>
      <c r="N59" s="147">
        <f t="shared" si="8"/>
        <v>2.9709278470235762E-2</v>
      </c>
      <c r="O59" s="164">
        <f t="shared" si="13"/>
        <v>3.5066907326015487E-2</v>
      </c>
      <c r="P59" s="147">
        <f t="shared" si="1"/>
        <v>0</v>
      </c>
      <c r="Q59" s="147">
        <f t="shared" si="4"/>
        <v>0</v>
      </c>
      <c r="R59" s="147">
        <f t="shared" si="9"/>
        <v>0</v>
      </c>
      <c r="S59" s="156">
        <f t="shared" si="14"/>
        <v>0</v>
      </c>
      <c r="T59" s="156">
        <f t="shared" si="2"/>
        <v>0</v>
      </c>
      <c r="U59" s="165">
        <f t="shared" si="19"/>
        <v>0</v>
      </c>
      <c r="W59" s="154">
        <f t="shared" si="0"/>
        <v>0.94020532745988006</v>
      </c>
    </row>
    <row r="60" spans="1:23" x14ac:dyDescent="0.25">
      <c r="A60" s="163"/>
      <c r="B60" s="163"/>
      <c r="C60" s="438"/>
      <c r="D60" s="147" t="s">
        <v>228</v>
      </c>
      <c r="E60" s="166">
        <f>IF(E59&gt;0.1,-100/($D$2-3)+E59,0)</f>
        <v>0</v>
      </c>
      <c r="F60" s="167">
        <f>IF(F59&gt;0.1,-100/($D$2-2)+F59,0)</f>
        <v>0</v>
      </c>
      <c r="G60" s="168">
        <f>IF(G59&gt;0.1,-100/($D$2-1)+G59,0)</f>
        <v>0</v>
      </c>
      <c r="H60" s="147">
        <f>H59</f>
        <v>5.9794672540119928E-2</v>
      </c>
      <c r="I60" s="164">
        <f>I59</f>
        <v>0.16459752684908685</v>
      </c>
      <c r="J60" s="147">
        <f>I60*E60/100</f>
        <v>0</v>
      </c>
      <c r="K60" s="147">
        <f>I60*F60/100</f>
        <v>0</v>
      </c>
      <c r="L60" s="147">
        <f>I60*G60/100</f>
        <v>0</v>
      </c>
      <c r="M60" s="147">
        <f>M59*W59</f>
        <v>2.4450662437227939E-2</v>
      </c>
      <c r="N60" s="147">
        <f>N59*W59</f>
        <v>2.7932821892704778E-2</v>
      </c>
      <c r="O60" s="164">
        <f>O59*W59</f>
        <v>3.2970093085461658E-2</v>
      </c>
      <c r="P60" s="147">
        <f>H60*J60*M60</f>
        <v>0</v>
      </c>
      <c r="Q60" s="147">
        <f>N60*K60*H60</f>
        <v>0</v>
      </c>
      <c r="R60" s="147">
        <f>H60*L60*O60</f>
        <v>0</v>
      </c>
      <c r="S60" s="156">
        <f>P60*$E60</f>
        <v>0</v>
      </c>
      <c r="T60" s="156">
        <f>Q60*$F60</f>
        <v>0</v>
      </c>
      <c r="U60" s="165">
        <f>R60*$G60</f>
        <v>0</v>
      </c>
      <c r="W60" s="154">
        <f t="shared" si="0"/>
        <v>0.94020532745988006</v>
      </c>
    </row>
    <row r="61" spans="1:23" x14ac:dyDescent="0.25">
      <c r="A61" s="163"/>
      <c r="B61" s="163"/>
      <c r="C61" s="426"/>
      <c r="D61" s="157" t="s">
        <v>229</v>
      </c>
      <c r="E61" s="169">
        <f>IF(E60&gt;0.1,-100/($D$2-3)+E60,0)</f>
        <v>0</v>
      </c>
      <c r="F61" s="170">
        <f>IF(F60&gt;0.1,-100/($D$2-2)+F60,0)</f>
        <v>0</v>
      </c>
      <c r="G61" s="171">
        <f>IF(G60&gt;0.1,-100/($D$2-1)+G60,0)</f>
        <v>0</v>
      </c>
      <c r="H61" s="157">
        <f>H60</f>
        <v>5.9794672540119928E-2</v>
      </c>
      <c r="I61" s="172">
        <f>I60</f>
        <v>0.16459752684908685</v>
      </c>
      <c r="J61" s="157">
        <f>I61*E61/100</f>
        <v>0</v>
      </c>
      <c r="K61" s="157">
        <f>I61*F61/100</f>
        <v>0</v>
      </c>
      <c r="L61" s="157">
        <f>I61*G61/100</f>
        <v>0</v>
      </c>
      <c r="M61" s="157">
        <f>M60*W60</f>
        <v>2.2988643083404883E-2</v>
      </c>
      <c r="N61" s="157">
        <f>N60*W60</f>
        <v>2.6262587954509004E-2</v>
      </c>
      <c r="O61" s="172">
        <f>O60*W60</f>
        <v>3.0998657165799207E-2</v>
      </c>
      <c r="P61" s="157">
        <f>H61*J61*M61</f>
        <v>0</v>
      </c>
      <c r="Q61" s="157">
        <f>N61*K61*H61</f>
        <v>0</v>
      </c>
      <c r="R61" s="157">
        <f>H61*L61*O61</f>
        <v>0</v>
      </c>
      <c r="S61" s="173">
        <f>P61*$E61</f>
        <v>0</v>
      </c>
      <c r="T61" s="173">
        <f>Q61*$F61</f>
        <v>0</v>
      </c>
      <c r="U61" s="174">
        <f>R61*$G61</f>
        <v>0</v>
      </c>
      <c r="W61" s="182">
        <f t="shared" si="0"/>
        <v>0.94020532745988006</v>
      </c>
    </row>
    <row r="62" spans="1:23" x14ac:dyDescent="0.25">
      <c r="V62" s="114"/>
    </row>
    <row r="63" spans="1:23" x14ac:dyDescent="0.25">
      <c r="P63" s="138" t="s">
        <v>230</v>
      </c>
      <c r="Q63" s="138" t="s">
        <v>230</v>
      </c>
      <c r="R63" s="138" t="s">
        <v>230</v>
      </c>
      <c r="S63" s="183" t="s">
        <v>231</v>
      </c>
      <c r="T63" s="122" t="s">
        <v>231</v>
      </c>
      <c r="U63" s="122" t="s">
        <v>231</v>
      </c>
    </row>
    <row r="64" spans="1:23" x14ac:dyDescent="0.25">
      <c r="O64" s="184" t="s">
        <v>11</v>
      </c>
      <c r="P64" s="185">
        <f>S64/$E$9</f>
        <v>0.20444727871671575</v>
      </c>
      <c r="Q64" s="186"/>
      <c r="R64" s="186"/>
      <c r="S64" s="187">
        <f>SUM(S10:S59)</f>
        <v>20.444727871671574</v>
      </c>
      <c r="T64" s="114"/>
      <c r="U64" s="114"/>
      <c r="V64" s="145"/>
    </row>
    <row r="65" spans="15:21" x14ac:dyDescent="0.25">
      <c r="O65" s="184" t="s">
        <v>12</v>
      </c>
      <c r="P65" s="185"/>
      <c r="Q65" s="185">
        <f>T65/$E$9</f>
        <v>0.1889040763109098</v>
      </c>
      <c r="R65" s="186"/>
      <c r="S65" s="145"/>
      <c r="T65" s="187">
        <f>SUM(T11:T59)</f>
        <v>18.89040763109098</v>
      </c>
    </row>
    <row r="66" spans="15:21" x14ac:dyDescent="0.25">
      <c r="O66" s="188" t="s">
        <v>13</v>
      </c>
      <c r="P66" s="185"/>
      <c r="Q66" s="186"/>
      <c r="R66" s="185">
        <f>U66/$E$9</f>
        <v>0.16629824315558647</v>
      </c>
      <c r="S66" s="145"/>
      <c r="T66" s="145"/>
      <c r="U66" s="187">
        <f>SUM(U12:U59)</f>
        <v>16.629824315558647</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6"/>
  <sheetViews>
    <sheetView zoomScale="70" zoomScaleNormal="70" workbookViewId="0"/>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244</v>
      </c>
      <c r="K1" s="114" t="s">
        <v>245</v>
      </c>
    </row>
    <row r="2" spans="1:27" x14ac:dyDescent="0.25">
      <c r="B2" s="114" t="s">
        <v>157</v>
      </c>
      <c r="C2" s="115" t="s">
        <v>158</v>
      </c>
      <c r="D2" s="116">
        <f>Sovereign!D52</f>
        <v>5</v>
      </c>
      <c r="F2" s="114" t="s">
        <v>159</v>
      </c>
      <c r="G2" s="117" t="s">
        <v>160</v>
      </c>
      <c r="I2" s="114" t="s">
        <v>11</v>
      </c>
      <c r="J2" s="249">
        <f>Sovereign!I33</f>
        <v>5.9177900398128098E-2</v>
      </c>
      <c r="K2" s="249">
        <v>0.4</v>
      </c>
    </row>
    <row r="3" spans="1:27" x14ac:dyDescent="0.25">
      <c r="C3" s="115" t="s">
        <v>161</v>
      </c>
      <c r="D3" s="115"/>
      <c r="I3" s="114" t="s">
        <v>12</v>
      </c>
      <c r="J3" s="249">
        <f>Sovereign!I39</f>
        <v>5.9177900398128098E-2</v>
      </c>
      <c r="K3" s="249">
        <v>0.4</v>
      </c>
    </row>
    <row r="4" spans="1:27" x14ac:dyDescent="0.25">
      <c r="C4" s="115" t="s">
        <v>162</v>
      </c>
      <c r="D4" s="115"/>
      <c r="I4" s="114" t="s">
        <v>13</v>
      </c>
      <c r="J4" s="249">
        <f>Sovereign!I45</f>
        <v>5.9177900398128098E-2</v>
      </c>
      <c r="K4" s="249">
        <v>0.4</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base (sov) S12'!J2</f>
        <v>5.9177900398128098E-2</v>
      </c>
      <c r="I10" s="150">
        <f>'Processor LT base (sov) S12'!K2</f>
        <v>0.4</v>
      </c>
      <c r="J10" s="150">
        <f>I10*E10/100</f>
        <v>0.4</v>
      </c>
      <c r="K10" s="150"/>
      <c r="L10" s="150"/>
      <c r="M10" s="151">
        <v>1</v>
      </c>
      <c r="N10" s="152"/>
      <c r="O10" s="152"/>
      <c r="P10" s="152">
        <f>H10*J10*M10</f>
        <v>2.3671160159251241E-2</v>
      </c>
      <c r="Q10" s="152"/>
      <c r="R10" s="152"/>
      <c r="S10" s="153">
        <f>P10*$E10</f>
        <v>2.3671160159251241</v>
      </c>
      <c r="T10" s="144"/>
      <c r="U10" s="144"/>
      <c r="W10" s="154">
        <f t="shared" ref="W10:W61" si="0">1-H10</f>
        <v>0.94082209960187191</v>
      </c>
    </row>
    <row r="11" spans="1:27" x14ac:dyDescent="0.25">
      <c r="C11" s="438"/>
      <c r="D11" s="147" t="s">
        <v>12</v>
      </c>
      <c r="E11" s="148">
        <f>IF($D$2&gt;1,100,0)</f>
        <v>100</v>
      </c>
      <c r="F11" s="148">
        <v>100</v>
      </c>
      <c r="G11" s="148">
        <v>100</v>
      </c>
      <c r="H11" s="149">
        <f>'Processor LT base (sov) S12'!J3</f>
        <v>5.9177900398128098E-2</v>
      </c>
      <c r="I11" s="150">
        <f>'Processor LT base (sov) S12'!K3</f>
        <v>0.4</v>
      </c>
      <c r="J11" s="150">
        <f>I11*E11/100</f>
        <v>0.4</v>
      </c>
      <c r="K11" s="150">
        <f>I11*F11/100</f>
        <v>0.4</v>
      </c>
      <c r="L11" s="150"/>
      <c r="M11" s="360">
        <f>M10*W10</f>
        <v>0.94082209960187191</v>
      </c>
      <c r="N11" s="151">
        <v>1</v>
      </c>
      <c r="O11" s="155"/>
      <c r="P11" s="152">
        <f t="shared" ref="P11:P61" si="1">H11*J11*M11</f>
        <v>2.2270350601038932E-2</v>
      </c>
      <c r="Q11" s="152">
        <f>N11*K11*H11</f>
        <v>2.3671160159251241E-2</v>
      </c>
      <c r="R11" s="152"/>
      <c r="S11" s="156">
        <f>P11*$E11</f>
        <v>2.2270350601038933</v>
      </c>
      <c r="T11" s="153">
        <f t="shared" ref="T11:T61" si="2">Q11*$F11</f>
        <v>2.3671160159251241</v>
      </c>
      <c r="U11" s="144"/>
      <c r="W11" s="154">
        <f t="shared" si="0"/>
        <v>0.94082209960187191</v>
      </c>
    </row>
    <row r="12" spans="1:27" x14ac:dyDescent="0.25">
      <c r="C12" s="426"/>
      <c r="D12" s="157" t="s">
        <v>13</v>
      </c>
      <c r="E12" s="158">
        <f>IF($D$2&gt;2,100,0)</f>
        <v>100</v>
      </c>
      <c r="F12" s="140">
        <f>IF($D$2&gt;1,100,0)</f>
        <v>100</v>
      </c>
      <c r="G12" s="159">
        <v>100</v>
      </c>
      <c r="H12" s="160">
        <f>'Processor LT base (sov) S12'!J4</f>
        <v>5.9177900398128098E-2</v>
      </c>
      <c r="I12" s="161">
        <f>'Processor LT base (sov) S12'!K4</f>
        <v>0.4</v>
      </c>
      <c r="J12" s="161">
        <f>I12*E12/100</f>
        <v>0.4</v>
      </c>
      <c r="K12" s="161">
        <f>I12*F12/100</f>
        <v>0.4</v>
      </c>
      <c r="L12" s="161">
        <f>I12*G12/100</f>
        <v>0.4</v>
      </c>
      <c r="M12" s="142">
        <f t="shared" ref="M12:M61" si="3">M11*W11</f>
        <v>0.8851462230992746</v>
      </c>
      <c r="N12" s="142">
        <f>N11*W11</f>
        <v>0.94082209960187191</v>
      </c>
      <c r="O12" s="162">
        <v>1</v>
      </c>
      <c r="P12" s="142">
        <f t="shared" si="1"/>
        <v>2.095243801133926E-2</v>
      </c>
      <c r="Q12" s="142">
        <f t="shared" ref="Q12:Q61" si="4">N12*K12*H12</f>
        <v>2.2270350601038932E-2</v>
      </c>
      <c r="R12" s="142">
        <f>H12*L12*O12</f>
        <v>2.3671160159251241E-2</v>
      </c>
      <c r="S12" s="156">
        <f>P12*$E12</f>
        <v>2.0952438011339258</v>
      </c>
      <c r="T12" s="156">
        <f t="shared" si="2"/>
        <v>2.2270350601038933</v>
      </c>
      <c r="U12" s="153">
        <f t="shared" ref="U12:U22" si="5">R12*$G12</f>
        <v>2.3671160159251241</v>
      </c>
      <c r="W12" s="154">
        <f t="shared" si="0"/>
        <v>0.94082209960187191</v>
      </c>
    </row>
    <row r="13" spans="1:27" x14ac:dyDescent="0.25">
      <c r="A13" s="163"/>
      <c r="C13" s="439" t="s">
        <v>179</v>
      </c>
      <c r="D13" s="147" t="s">
        <v>180</v>
      </c>
      <c r="E13" s="148">
        <f>IF($D$2&gt;3,100,0)</f>
        <v>100</v>
      </c>
      <c r="F13" s="148">
        <f>IF($D$2&gt;2,100,0)</f>
        <v>100</v>
      </c>
      <c r="G13" s="148">
        <f>IF($D$2&gt;1,100,0)</f>
        <v>100</v>
      </c>
      <c r="H13" s="147">
        <f>H12</f>
        <v>5.9177900398128098E-2</v>
      </c>
      <c r="I13" s="147">
        <f>I12</f>
        <v>0.4</v>
      </c>
      <c r="J13" s="164">
        <f>I13*E13/100</f>
        <v>0.4</v>
      </c>
      <c r="K13" s="164">
        <f>I13*F13/100</f>
        <v>0.4</v>
      </c>
      <c r="L13" s="164">
        <f>I13*G13/100</f>
        <v>0.4</v>
      </c>
      <c r="M13" s="164">
        <f t="shared" si="3"/>
        <v>0.83276512807092651</v>
      </c>
      <c r="N13" s="164">
        <f t="shared" ref="N13:N61" si="6">N12*W12</f>
        <v>0.8851462230992746</v>
      </c>
      <c r="O13" s="164">
        <f>O12*W12</f>
        <v>0.94082209960187191</v>
      </c>
      <c r="P13" s="164">
        <f t="shared" si="1"/>
        <v>1.9712516721606274E-2</v>
      </c>
      <c r="Q13" s="164">
        <f t="shared" si="4"/>
        <v>2.095243801133926E-2</v>
      </c>
      <c r="R13" s="164">
        <f t="shared" ref="R13:R61" si="7">H13*L13*O13</f>
        <v>2.2270350601038932E-2</v>
      </c>
      <c r="S13" s="156">
        <f>P13*$E13</f>
        <v>1.9712516721606275</v>
      </c>
      <c r="T13" s="156">
        <f t="shared" si="2"/>
        <v>2.0952438011339258</v>
      </c>
      <c r="U13" s="165">
        <f t="shared" si="5"/>
        <v>2.2270350601038933</v>
      </c>
      <c r="W13" s="154">
        <f t="shared" si="0"/>
        <v>0.94082209960187191</v>
      </c>
    </row>
    <row r="14" spans="1:27" x14ac:dyDescent="0.25">
      <c r="A14" s="163"/>
      <c r="B14" s="163"/>
      <c r="C14" s="440"/>
      <c r="D14" s="147" t="s">
        <v>181</v>
      </c>
      <c r="E14" s="166">
        <f>IF(E13&gt;0.1,-100/($D$2-3)+E13,0)</f>
        <v>50</v>
      </c>
      <c r="F14" s="167">
        <f>IF(F13&gt;0.1,-100/($D$2-2)+F13,0)</f>
        <v>66.666666666666657</v>
      </c>
      <c r="G14" s="168">
        <f>IF(G13&gt;0.1,-100/($D$2-1)+G13,0)</f>
        <v>75</v>
      </c>
      <c r="H14" s="147">
        <f t="shared" ref="H14:I29" si="8">H13</f>
        <v>5.9177900398128098E-2</v>
      </c>
      <c r="I14" s="164">
        <f t="shared" si="8"/>
        <v>0.4</v>
      </c>
      <c r="J14" s="164">
        <f t="shared" ref="J14:J61" si="9">I14*E14/100</f>
        <v>0.2</v>
      </c>
      <c r="K14" s="164">
        <f t="shared" ref="K14:K61" si="10">I14*F14/100</f>
        <v>0.26666666666666666</v>
      </c>
      <c r="L14" s="164">
        <f t="shared" ref="L14:L61" si="11">I14*G14/100</f>
        <v>0.3</v>
      </c>
      <c r="M14" s="164">
        <f t="shared" si="3"/>
        <v>0.78348383626691087</v>
      </c>
      <c r="N14" s="164">
        <f t="shared" si="6"/>
        <v>0.83276512807092651</v>
      </c>
      <c r="O14" s="164">
        <f t="shared" ref="O14:O61" si="12">O13*W13</f>
        <v>0.8851462230992746</v>
      </c>
      <c r="P14" s="164">
        <f t="shared" si="1"/>
        <v>9.2729856852293117E-3</v>
      </c>
      <c r="Q14" s="164">
        <f t="shared" si="4"/>
        <v>1.314167781440418E-2</v>
      </c>
      <c r="R14" s="164">
        <f t="shared" si="7"/>
        <v>1.5714328508504443E-2</v>
      </c>
      <c r="S14" s="156">
        <f t="shared" ref="S14:S61" si="13">P14*$E14</f>
        <v>0.46364928426146557</v>
      </c>
      <c r="T14" s="156">
        <f t="shared" si="2"/>
        <v>0.87611185429361194</v>
      </c>
      <c r="U14" s="165">
        <f t="shared" si="5"/>
        <v>1.1785746381378333</v>
      </c>
      <c r="W14" s="154">
        <f t="shared" si="0"/>
        <v>0.94082209960187191</v>
      </c>
    </row>
    <row r="15" spans="1:27" x14ac:dyDescent="0.25">
      <c r="A15" s="163"/>
      <c r="B15" s="163"/>
      <c r="C15" s="440"/>
      <c r="D15" s="147" t="s">
        <v>182</v>
      </c>
      <c r="E15" s="166">
        <f t="shared" ref="E15:E61" si="14">IF(E14&gt;0.1,-100/($D$2-3)+E14,0)</f>
        <v>0</v>
      </c>
      <c r="F15" s="167">
        <f t="shared" ref="F15:F61" si="15">IF(F14&gt;0.1,-100/($D$2-2)+F14,0)</f>
        <v>33.333333333333321</v>
      </c>
      <c r="G15" s="168">
        <f t="shared" ref="G15:G61" si="16">IF(G14&gt;0.1,-100/($D$2-1)+G14,0)</f>
        <v>50</v>
      </c>
      <c r="H15" s="147">
        <f t="shared" si="8"/>
        <v>5.9177900398128098E-2</v>
      </c>
      <c r="I15" s="164">
        <f t="shared" si="8"/>
        <v>0.4</v>
      </c>
      <c r="J15" s="164">
        <f t="shared" si="9"/>
        <v>0</v>
      </c>
      <c r="K15" s="164">
        <f t="shared" si="10"/>
        <v>0.13333333333333328</v>
      </c>
      <c r="L15" s="164">
        <f t="shared" si="11"/>
        <v>0.2</v>
      </c>
      <c r="M15" s="164">
        <f t="shared" si="3"/>
        <v>0.73711890784076428</v>
      </c>
      <c r="N15" s="164">
        <f t="shared" si="6"/>
        <v>0.78348383626691087</v>
      </c>
      <c r="O15" s="164">
        <f t="shared" si="12"/>
        <v>0.83276512807092651</v>
      </c>
      <c r="P15" s="164">
        <f t="shared" si="1"/>
        <v>0</v>
      </c>
      <c r="Q15" s="164">
        <f t="shared" si="4"/>
        <v>6.181990456819538E-3</v>
      </c>
      <c r="R15" s="164">
        <f t="shared" si="7"/>
        <v>9.8562583608031371E-3</v>
      </c>
      <c r="S15" s="156">
        <f t="shared" si="13"/>
        <v>0</v>
      </c>
      <c r="T15" s="156">
        <f t="shared" si="2"/>
        <v>0.2060663485606512</v>
      </c>
      <c r="U15" s="165">
        <f t="shared" si="5"/>
        <v>0.49281291804015687</v>
      </c>
      <c r="W15" s="154">
        <f t="shared" si="0"/>
        <v>0.94082209960187191</v>
      </c>
    </row>
    <row r="16" spans="1:27" x14ac:dyDescent="0.25">
      <c r="A16" s="163"/>
      <c r="B16" s="163"/>
      <c r="C16" s="440"/>
      <c r="D16" s="147" t="s">
        <v>183</v>
      </c>
      <c r="E16" s="166">
        <f t="shared" si="14"/>
        <v>0</v>
      </c>
      <c r="F16" s="167">
        <f t="shared" si="15"/>
        <v>-1.4210854715202004E-14</v>
      </c>
      <c r="G16" s="168">
        <f t="shared" si="16"/>
        <v>25</v>
      </c>
      <c r="H16" s="147">
        <f t="shared" si="8"/>
        <v>5.9177900398128098E-2</v>
      </c>
      <c r="I16" s="164">
        <f t="shared" si="8"/>
        <v>0.4</v>
      </c>
      <c r="J16" s="164">
        <f t="shared" si="9"/>
        <v>0</v>
      </c>
      <c r="K16" s="164">
        <f t="shared" si="10"/>
        <v>-5.6843418860808016E-17</v>
      </c>
      <c r="L16" s="164">
        <f t="shared" si="11"/>
        <v>0.1</v>
      </c>
      <c r="M16" s="164">
        <f t="shared" si="3"/>
        <v>0.69349775853098661</v>
      </c>
      <c r="N16" s="164">
        <f t="shared" si="6"/>
        <v>0.73711890784076428</v>
      </c>
      <c r="O16" s="164">
        <f t="shared" si="12"/>
        <v>0.78348383626691087</v>
      </c>
      <c r="P16" s="164">
        <f t="shared" si="1"/>
        <v>0</v>
      </c>
      <c r="Q16" s="164">
        <f t="shared" si="4"/>
        <v>-2.4795752614055409E-18</v>
      </c>
      <c r="R16" s="164">
        <f t="shared" si="7"/>
        <v>4.6364928426146559E-3</v>
      </c>
      <c r="S16" s="156">
        <f t="shared" si="13"/>
        <v>0</v>
      </c>
      <c r="T16" s="156">
        <f t="shared" si="2"/>
        <v>3.5236883795243172E-32</v>
      </c>
      <c r="U16" s="165">
        <f t="shared" si="5"/>
        <v>0.11591232106536639</v>
      </c>
      <c r="W16" s="154">
        <f t="shared" si="0"/>
        <v>0.94082209960187191</v>
      </c>
    </row>
    <row r="17" spans="1:27" x14ac:dyDescent="0.25">
      <c r="A17" s="163"/>
      <c r="B17" s="163"/>
      <c r="C17" s="440"/>
      <c r="D17" s="147" t="s">
        <v>184</v>
      </c>
      <c r="E17" s="166">
        <f t="shared" si="14"/>
        <v>0</v>
      </c>
      <c r="F17" s="167">
        <f t="shared" si="15"/>
        <v>0</v>
      </c>
      <c r="G17" s="168">
        <f t="shared" si="16"/>
        <v>0</v>
      </c>
      <c r="H17" s="147">
        <f t="shared" si="8"/>
        <v>5.9177900398128098E-2</v>
      </c>
      <c r="I17" s="164">
        <f t="shared" si="8"/>
        <v>0.4</v>
      </c>
      <c r="J17" s="164">
        <f t="shared" si="9"/>
        <v>0</v>
      </c>
      <c r="K17" s="164">
        <f t="shared" si="10"/>
        <v>0</v>
      </c>
      <c r="L17" s="164">
        <f t="shared" si="11"/>
        <v>0</v>
      </c>
      <c r="M17" s="164">
        <f t="shared" si="3"/>
        <v>0.65245801725031483</v>
      </c>
      <c r="N17" s="164">
        <f t="shared" si="6"/>
        <v>0.69349775853098661</v>
      </c>
      <c r="O17" s="164">
        <f t="shared" si="12"/>
        <v>0.73711890784076428</v>
      </c>
      <c r="P17" s="164">
        <f t="shared" si="1"/>
        <v>0</v>
      </c>
      <c r="Q17" s="164">
        <f t="shared" si="4"/>
        <v>0</v>
      </c>
      <c r="R17" s="164">
        <f t="shared" si="7"/>
        <v>0</v>
      </c>
      <c r="S17" s="156">
        <f t="shared" si="13"/>
        <v>0</v>
      </c>
      <c r="T17" s="156">
        <f t="shared" si="2"/>
        <v>0</v>
      </c>
      <c r="U17" s="165">
        <f t="shared" si="5"/>
        <v>0</v>
      </c>
      <c r="W17" s="154">
        <f t="shared" si="0"/>
        <v>0.94082209960187191</v>
      </c>
    </row>
    <row r="18" spans="1:27" x14ac:dyDescent="0.25">
      <c r="A18" s="163"/>
      <c r="B18" s="163"/>
      <c r="C18" s="428"/>
      <c r="D18" s="157" t="s">
        <v>185</v>
      </c>
      <c r="E18" s="169">
        <f t="shared" si="14"/>
        <v>0</v>
      </c>
      <c r="F18" s="170">
        <f t="shared" si="15"/>
        <v>0</v>
      </c>
      <c r="G18" s="171">
        <f t="shared" si="16"/>
        <v>0</v>
      </c>
      <c r="H18" s="157">
        <f t="shared" si="8"/>
        <v>5.9177900398128098E-2</v>
      </c>
      <c r="I18" s="172">
        <f t="shared" si="8"/>
        <v>0.4</v>
      </c>
      <c r="J18" s="157">
        <f t="shared" si="9"/>
        <v>0</v>
      </c>
      <c r="K18" s="172">
        <f t="shared" si="10"/>
        <v>0</v>
      </c>
      <c r="L18" s="172">
        <f t="shared" si="11"/>
        <v>0</v>
      </c>
      <c r="M18" s="172">
        <f t="shared" si="3"/>
        <v>0.61384692169151556</v>
      </c>
      <c r="N18" s="172">
        <f t="shared" si="6"/>
        <v>0.65245801725031483</v>
      </c>
      <c r="O18" s="172">
        <f t="shared" si="12"/>
        <v>0.69349775853098661</v>
      </c>
      <c r="P18" s="172">
        <f t="shared" si="1"/>
        <v>0</v>
      </c>
      <c r="Q18" s="172">
        <f t="shared" si="4"/>
        <v>0</v>
      </c>
      <c r="R18" s="172">
        <f t="shared" si="7"/>
        <v>0</v>
      </c>
      <c r="S18" s="173">
        <f t="shared" si="13"/>
        <v>0</v>
      </c>
      <c r="T18" s="173">
        <f t="shared" si="2"/>
        <v>0</v>
      </c>
      <c r="U18" s="174">
        <f t="shared" si="5"/>
        <v>0</v>
      </c>
      <c r="W18" s="154">
        <f t="shared" si="0"/>
        <v>0.94082209960187191</v>
      </c>
    </row>
    <row r="19" spans="1:27" x14ac:dyDescent="0.25">
      <c r="A19" s="163"/>
      <c r="B19" s="163"/>
      <c r="C19" s="437" t="s">
        <v>186</v>
      </c>
      <c r="D19" s="147" t="s">
        <v>187</v>
      </c>
      <c r="E19" s="166">
        <f t="shared" si="14"/>
        <v>0</v>
      </c>
      <c r="F19" s="167">
        <f t="shared" si="15"/>
        <v>0</v>
      </c>
      <c r="G19" s="168">
        <f t="shared" si="16"/>
        <v>0</v>
      </c>
      <c r="H19" s="175">
        <f t="shared" si="8"/>
        <v>5.9177900398128098E-2</v>
      </c>
      <c r="I19" s="176">
        <f t="shared" si="8"/>
        <v>0.4</v>
      </c>
      <c r="J19" s="164">
        <f t="shared" si="9"/>
        <v>0</v>
      </c>
      <c r="K19" s="177">
        <f t="shared" si="10"/>
        <v>0</v>
      </c>
      <c r="L19" s="177">
        <f t="shared" si="11"/>
        <v>0</v>
      </c>
      <c r="M19" s="178">
        <f t="shared" si="3"/>
        <v>0.57752074969995748</v>
      </c>
      <c r="N19" s="178">
        <f t="shared" si="6"/>
        <v>0.61384692169151556</v>
      </c>
      <c r="O19" s="178">
        <f t="shared" si="12"/>
        <v>0.65245801725031483</v>
      </c>
      <c r="P19" s="178">
        <f t="shared" si="1"/>
        <v>0</v>
      </c>
      <c r="Q19" s="178">
        <f t="shared" si="4"/>
        <v>0</v>
      </c>
      <c r="R19" s="178">
        <f t="shared" si="7"/>
        <v>0</v>
      </c>
      <c r="S19" s="156">
        <f t="shared" si="13"/>
        <v>0</v>
      </c>
      <c r="T19" s="156">
        <f t="shared" si="2"/>
        <v>0</v>
      </c>
      <c r="U19" s="165">
        <f t="shared" si="5"/>
        <v>0</v>
      </c>
      <c r="W19" s="154">
        <f t="shared" si="0"/>
        <v>0.94082209960187191</v>
      </c>
    </row>
    <row r="20" spans="1:27" x14ac:dyDescent="0.25">
      <c r="A20" s="163"/>
      <c r="B20" s="163"/>
      <c r="C20" s="438"/>
      <c r="D20" s="147" t="s">
        <v>188</v>
      </c>
      <c r="E20" s="166">
        <f t="shared" si="14"/>
        <v>0</v>
      </c>
      <c r="F20" s="167">
        <f t="shared" si="15"/>
        <v>0</v>
      </c>
      <c r="G20" s="168">
        <f t="shared" si="16"/>
        <v>0</v>
      </c>
      <c r="H20" s="147">
        <f t="shared" si="8"/>
        <v>5.9177900398128098E-2</v>
      </c>
      <c r="I20" s="164">
        <f t="shared" si="8"/>
        <v>0.4</v>
      </c>
      <c r="J20" s="164">
        <f t="shared" si="9"/>
        <v>0</v>
      </c>
      <c r="K20" s="164">
        <f t="shared" si="10"/>
        <v>0</v>
      </c>
      <c r="L20" s="164">
        <f t="shared" si="11"/>
        <v>0</v>
      </c>
      <c r="M20" s="164">
        <f t="shared" si="3"/>
        <v>0.54334428429636117</v>
      </c>
      <c r="N20" s="164">
        <f t="shared" si="6"/>
        <v>0.57752074969995748</v>
      </c>
      <c r="O20" s="164">
        <f t="shared" si="12"/>
        <v>0.61384692169151556</v>
      </c>
      <c r="P20" s="164">
        <f t="shared" si="1"/>
        <v>0</v>
      </c>
      <c r="Q20" s="164">
        <f t="shared" si="4"/>
        <v>0</v>
      </c>
      <c r="R20" s="164">
        <f t="shared" si="7"/>
        <v>0</v>
      </c>
      <c r="S20" s="156">
        <f t="shared" si="13"/>
        <v>0</v>
      </c>
      <c r="T20" s="156">
        <f t="shared" si="2"/>
        <v>0</v>
      </c>
      <c r="U20" s="165">
        <f t="shared" si="5"/>
        <v>0</v>
      </c>
      <c r="W20" s="154">
        <f t="shared" si="0"/>
        <v>0.94082209960187191</v>
      </c>
    </row>
    <row r="21" spans="1:27" x14ac:dyDescent="0.25">
      <c r="A21" s="163"/>
      <c r="B21" s="163"/>
      <c r="C21" s="438"/>
      <c r="D21" s="147" t="s">
        <v>189</v>
      </c>
      <c r="E21" s="166">
        <f t="shared" si="14"/>
        <v>0</v>
      </c>
      <c r="F21" s="167">
        <f t="shared" si="15"/>
        <v>0</v>
      </c>
      <c r="G21" s="168">
        <f t="shared" si="16"/>
        <v>0</v>
      </c>
      <c r="H21" s="147">
        <f t="shared" si="8"/>
        <v>5.9177900398128098E-2</v>
      </c>
      <c r="I21" s="164">
        <f t="shared" si="8"/>
        <v>0.4</v>
      </c>
      <c r="J21" s="164">
        <f t="shared" si="9"/>
        <v>0</v>
      </c>
      <c r="K21" s="164">
        <f t="shared" si="10"/>
        <v>0</v>
      </c>
      <c r="L21" s="164">
        <f t="shared" si="11"/>
        <v>0</v>
      </c>
      <c r="M21" s="164">
        <f t="shared" si="3"/>
        <v>0.51119031035837892</v>
      </c>
      <c r="N21" s="164">
        <f t="shared" si="6"/>
        <v>0.54334428429636117</v>
      </c>
      <c r="O21" s="164">
        <f t="shared" si="12"/>
        <v>0.57752074969995748</v>
      </c>
      <c r="P21" s="147">
        <f t="shared" si="1"/>
        <v>0</v>
      </c>
      <c r="Q21" s="164">
        <f t="shared" si="4"/>
        <v>0</v>
      </c>
      <c r="R21" s="164">
        <f t="shared" si="7"/>
        <v>0</v>
      </c>
      <c r="S21" s="156">
        <f t="shared" si="13"/>
        <v>0</v>
      </c>
      <c r="T21" s="156">
        <f t="shared" si="2"/>
        <v>0</v>
      </c>
      <c r="U21" s="165">
        <f t="shared" si="5"/>
        <v>0</v>
      </c>
      <c r="V21" s="114"/>
      <c r="W21" s="154">
        <f t="shared" si="0"/>
        <v>0.94082209960187191</v>
      </c>
      <c r="Z21" s="179"/>
      <c r="AA21" s="179"/>
    </row>
    <row r="22" spans="1:27" x14ac:dyDescent="0.25">
      <c r="A22" s="163"/>
      <c r="B22" s="163"/>
      <c r="C22" s="438"/>
      <c r="D22" s="147" t="s">
        <v>190</v>
      </c>
      <c r="E22" s="166">
        <f t="shared" si="14"/>
        <v>0</v>
      </c>
      <c r="F22" s="167">
        <f t="shared" si="15"/>
        <v>0</v>
      </c>
      <c r="G22" s="168">
        <f t="shared" si="16"/>
        <v>0</v>
      </c>
      <c r="H22" s="147">
        <f t="shared" si="8"/>
        <v>5.9177900398128098E-2</v>
      </c>
      <c r="I22" s="164">
        <f t="shared" si="8"/>
        <v>0.4</v>
      </c>
      <c r="J22" s="164">
        <f t="shared" si="9"/>
        <v>0</v>
      </c>
      <c r="K22" s="147">
        <f t="shared" si="10"/>
        <v>0</v>
      </c>
      <c r="L22" s="164">
        <f t="shared" si="11"/>
        <v>0</v>
      </c>
      <c r="M22" s="164">
        <f t="shared" si="3"/>
        <v>0.48093914108750258</v>
      </c>
      <c r="N22" s="164">
        <f t="shared" si="6"/>
        <v>0.51119031035837892</v>
      </c>
      <c r="O22" s="164">
        <f t="shared" si="12"/>
        <v>0.54334428429636117</v>
      </c>
      <c r="P22" s="147">
        <f t="shared" si="1"/>
        <v>0</v>
      </c>
      <c r="Q22" s="147">
        <f t="shared" si="4"/>
        <v>0</v>
      </c>
      <c r="R22" s="164">
        <f t="shared" si="7"/>
        <v>0</v>
      </c>
      <c r="S22" s="156">
        <f t="shared" si="13"/>
        <v>0</v>
      </c>
      <c r="T22" s="156">
        <f t="shared" si="2"/>
        <v>0</v>
      </c>
      <c r="U22" s="165">
        <f t="shared" si="5"/>
        <v>0</v>
      </c>
      <c r="V22" s="114"/>
      <c r="W22" s="154">
        <f t="shared" si="0"/>
        <v>0.94082209960187191</v>
      </c>
      <c r="Z22" s="179"/>
      <c r="AA22" s="179"/>
    </row>
    <row r="23" spans="1:27" x14ac:dyDescent="0.25">
      <c r="A23" s="163"/>
      <c r="B23" s="163"/>
      <c r="C23" s="438"/>
      <c r="D23" s="147" t="s">
        <v>191</v>
      </c>
      <c r="E23" s="166">
        <f t="shared" si="14"/>
        <v>0</v>
      </c>
      <c r="F23" s="167">
        <f t="shared" si="15"/>
        <v>0</v>
      </c>
      <c r="G23" s="168">
        <f t="shared" si="16"/>
        <v>0</v>
      </c>
      <c r="H23" s="147">
        <f t="shared" si="8"/>
        <v>5.9177900398128098E-2</v>
      </c>
      <c r="I23" s="164">
        <f t="shared" si="8"/>
        <v>0.4</v>
      </c>
      <c r="J23" s="164">
        <f t="shared" si="9"/>
        <v>0</v>
      </c>
      <c r="K23" s="147">
        <f t="shared" si="10"/>
        <v>0</v>
      </c>
      <c r="L23" s="147">
        <f t="shared" si="11"/>
        <v>0</v>
      </c>
      <c r="M23" s="147">
        <f t="shared" si="3"/>
        <v>0.45247817249866507</v>
      </c>
      <c r="N23" s="147">
        <f t="shared" si="6"/>
        <v>0.48093914108750258</v>
      </c>
      <c r="O23" s="164">
        <f t="shared" si="12"/>
        <v>0.51119031035837892</v>
      </c>
      <c r="P23" s="147">
        <f t="shared" si="1"/>
        <v>0</v>
      </c>
      <c r="Q23" s="147">
        <f t="shared" si="4"/>
        <v>0</v>
      </c>
      <c r="R23" s="147">
        <f t="shared" si="7"/>
        <v>0</v>
      </c>
      <c r="S23" s="156">
        <f t="shared" si="13"/>
        <v>0</v>
      </c>
      <c r="T23" s="156">
        <f t="shared" si="2"/>
        <v>0</v>
      </c>
      <c r="U23" s="165">
        <f>R23*$G23</f>
        <v>0</v>
      </c>
      <c r="V23" s="114"/>
      <c r="W23" s="154">
        <f t="shared" si="0"/>
        <v>0.94082209960187191</v>
      </c>
      <c r="Z23" s="179"/>
      <c r="AA23" s="179"/>
    </row>
    <row r="24" spans="1:27" x14ac:dyDescent="0.25">
      <c r="A24" s="163"/>
      <c r="B24" s="163"/>
      <c r="C24" s="438"/>
      <c r="D24" s="147" t="s">
        <v>192</v>
      </c>
      <c r="E24" s="166">
        <f t="shared" si="14"/>
        <v>0</v>
      </c>
      <c r="F24" s="167">
        <f t="shared" si="15"/>
        <v>0</v>
      </c>
      <c r="G24" s="168">
        <f t="shared" si="16"/>
        <v>0</v>
      </c>
      <c r="H24" s="147">
        <f t="shared" si="8"/>
        <v>5.9177900398128098E-2</v>
      </c>
      <c r="I24" s="164">
        <f t="shared" si="8"/>
        <v>0.4</v>
      </c>
      <c r="J24" s="164">
        <f t="shared" si="9"/>
        <v>0</v>
      </c>
      <c r="K24" s="147">
        <f t="shared" si="10"/>
        <v>0</v>
      </c>
      <c r="L24" s="147">
        <f t="shared" si="11"/>
        <v>0</v>
      </c>
      <c r="M24" s="147">
        <f t="shared" si="3"/>
        <v>0.42570146427421202</v>
      </c>
      <c r="N24" s="147">
        <f t="shared" si="6"/>
        <v>0.45247817249866507</v>
      </c>
      <c r="O24" s="164">
        <f t="shared" si="12"/>
        <v>0.48093914108750258</v>
      </c>
      <c r="P24" s="147">
        <f t="shared" si="1"/>
        <v>0</v>
      </c>
      <c r="Q24" s="147">
        <f t="shared" si="4"/>
        <v>0</v>
      </c>
      <c r="R24" s="147">
        <f t="shared" si="7"/>
        <v>0</v>
      </c>
      <c r="S24" s="156">
        <f t="shared" si="13"/>
        <v>0</v>
      </c>
      <c r="T24" s="156">
        <f t="shared" si="2"/>
        <v>0</v>
      </c>
      <c r="U24" s="165">
        <f t="shared" ref="U24:U61" si="17">R24*$G24</f>
        <v>0</v>
      </c>
      <c r="V24" s="114"/>
      <c r="W24" s="154">
        <f t="shared" si="0"/>
        <v>0.94082209960187191</v>
      </c>
      <c r="X24" s="180"/>
      <c r="Z24" s="131"/>
      <c r="AA24" s="131"/>
    </row>
    <row r="25" spans="1:27" x14ac:dyDescent="0.25">
      <c r="A25" s="163"/>
      <c r="B25" s="163"/>
      <c r="C25" s="438"/>
      <c r="D25" s="147" t="s">
        <v>193</v>
      </c>
      <c r="E25" s="166">
        <f t="shared" si="14"/>
        <v>0</v>
      </c>
      <c r="F25" s="167">
        <f t="shared" si="15"/>
        <v>0</v>
      </c>
      <c r="G25" s="168">
        <f t="shared" si="16"/>
        <v>0</v>
      </c>
      <c r="H25" s="147">
        <f t="shared" si="8"/>
        <v>5.9177900398128098E-2</v>
      </c>
      <c r="I25" s="164">
        <f t="shared" si="8"/>
        <v>0.4</v>
      </c>
      <c r="J25" s="164">
        <f t="shared" si="9"/>
        <v>0</v>
      </c>
      <c r="K25" s="147">
        <f t="shared" si="10"/>
        <v>0</v>
      </c>
      <c r="L25" s="147">
        <f t="shared" si="11"/>
        <v>0</v>
      </c>
      <c r="M25" s="147">
        <f t="shared" si="3"/>
        <v>0.40050934542205541</v>
      </c>
      <c r="N25" s="147">
        <f t="shared" si="6"/>
        <v>0.42570146427421202</v>
      </c>
      <c r="O25" s="164">
        <f t="shared" si="12"/>
        <v>0.45247817249866507</v>
      </c>
      <c r="P25" s="147">
        <f t="shared" si="1"/>
        <v>0</v>
      </c>
      <c r="Q25" s="147">
        <f t="shared" si="4"/>
        <v>0</v>
      </c>
      <c r="R25" s="147">
        <f t="shared" si="7"/>
        <v>0</v>
      </c>
      <c r="S25" s="156">
        <f t="shared" si="13"/>
        <v>0</v>
      </c>
      <c r="T25" s="156">
        <f t="shared" si="2"/>
        <v>0</v>
      </c>
      <c r="U25" s="165">
        <f t="shared" si="17"/>
        <v>0</v>
      </c>
      <c r="V25" s="114"/>
      <c r="W25" s="154">
        <f t="shared" si="0"/>
        <v>0.94082209960187191</v>
      </c>
      <c r="Z25" s="181"/>
      <c r="AA25" s="179"/>
    </row>
    <row r="26" spans="1:27" x14ac:dyDescent="0.25">
      <c r="A26" s="163"/>
      <c r="B26" s="163"/>
      <c r="C26" s="438"/>
      <c r="D26" s="147" t="s">
        <v>194</v>
      </c>
      <c r="E26" s="166">
        <f t="shared" si="14"/>
        <v>0</v>
      </c>
      <c r="F26" s="167">
        <f t="shared" si="15"/>
        <v>0</v>
      </c>
      <c r="G26" s="168">
        <f t="shared" si="16"/>
        <v>0</v>
      </c>
      <c r="H26" s="147">
        <f t="shared" si="8"/>
        <v>5.9177900398128098E-2</v>
      </c>
      <c r="I26" s="164">
        <f t="shared" si="8"/>
        <v>0.4</v>
      </c>
      <c r="J26" s="164">
        <f t="shared" si="9"/>
        <v>0</v>
      </c>
      <c r="K26" s="147">
        <f t="shared" si="10"/>
        <v>0</v>
      </c>
      <c r="L26" s="147">
        <f t="shared" si="11"/>
        <v>0</v>
      </c>
      <c r="M26" s="147">
        <f t="shared" si="3"/>
        <v>0.37680804327014955</v>
      </c>
      <c r="N26" s="147">
        <f t="shared" si="6"/>
        <v>0.40050934542205541</v>
      </c>
      <c r="O26" s="164">
        <f t="shared" si="12"/>
        <v>0.42570146427421202</v>
      </c>
      <c r="P26" s="147">
        <f t="shared" si="1"/>
        <v>0</v>
      </c>
      <c r="Q26" s="147">
        <f t="shared" si="4"/>
        <v>0</v>
      </c>
      <c r="R26" s="147">
        <f t="shared" si="7"/>
        <v>0</v>
      </c>
      <c r="S26" s="156">
        <f t="shared" si="13"/>
        <v>0</v>
      </c>
      <c r="T26" s="156">
        <f t="shared" si="2"/>
        <v>0</v>
      </c>
      <c r="U26" s="165">
        <f t="shared" si="17"/>
        <v>0</v>
      </c>
      <c r="V26" s="114"/>
      <c r="W26" s="154">
        <f t="shared" si="0"/>
        <v>0.94082209960187191</v>
      </c>
      <c r="Y26" s="181"/>
      <c r="Z26" s="181"/>
      <c r="AA26" s="179"/>
    </row>
    <row r="27" spans="1:27" x14ac:dyDescent="0.25">
      <c r="A27" s="163"/>
      <c r="B27" s="163"/>
      <c r="C27" s="438"/>
      <c r="D27" s="147" t="s">
        <v>195</v>
      </c>
      <c r="E27" s="166">
        <f t="shared" si="14"/>
        <v>0</v>
      </c>
      <c r="F27" s="167">
        <f t="shared" si="15"/>
        <v>0</v>
      </c>
      <c r="G27" s="168">
        <f t="shared" si="16"/>
        <v>0</v>
      </c>
      <c r="H27" s="147">
        <f t="shared" si="8"/>
        <v>5.9177900398128098E-2</v>
      </c>
      <c r="I27" s="164">
        <f t="shared" si="8"/>
        <v>0.4</v>
      </c>
      <c r="J27" s="164">
        <f t="shared" si="9"/>
        <v>0</v>
      </c>
      <c r="K27" s="147">
        <f t="shared" si="10"/>
        <v>0</v>
      </c>
      <c r="L27" s="147">
        <f t="shared" si="11"/>
        <v>0</v>
      </c>
      <c r="M27" s="147">
        <f t="shared" si="3"/>
        <v>0.35450933441629512</v>
      </c>
      <c r="N27" s="147">
        <f t="shared" si="6"/>
        <v>0.37680804327014955</v>
      </c>
      <c r="O27" s="164">
        <f t="shared" si="12"/>
        <v>0.40050934542205541</v>
      </c>
      <c r="P27" s="147">
        <f t="shared" si="1"/>
        <v>0</v>
      </c>
      <c r="Q27" s="147">
        <f t="shared" si="4"/>
        <v>0</v>
      </c>
      <c r="R27" s="147">
        <f t="shared" si="7"/>
        <v>0</v>
      </c>
      <c r="S27" s="156">
        <f t="shared" si="13"/>
        <v>0</v>
      </c>
      <c r="T27" s="156">
        <f t="shared" si="2"/>
        <v>0</v>
      </c>
      <c r="U27" s="165">
        <f t="shared" si="17"/>
        <v>0</v>
      </c>
      <c r="V27" s="114"/>
      <c r="W27" s="154">
        <f t="shared" si="0"/>
        <v>0.94082209960187191</v>
      </c>
      <c r="Y27" s="181"/>
      <c r="Z27" s="181"/>
      <c r="AA27" s="179"/>
    </row>
    <row r="28" spans="1:27" x14ac:dyDescent="0.25">
      <c r="A28" s="163"/>
      <c r="B28" s="163"/>
      <c r="C28" s="438"/>
      <c r="D28" s="147" t="s">
        <v>196</v>
      </c>
      <c r="E28" s="166">
        <f t="shared" si="14"/>
        <v>0</v>
      </c>
      <c r="F28" s="167">
        <f t="shared" si="15"/>
        <v>0</v>
      </c>
      <c r="G28" s="168">
        <f t="shared" si="16"/>
        <v>0</v>
      </c>
      <c r="H28" s="147">
        <f t="shared" si="8"/>
        <v>5.9177900398128098E-2</v>
      </c>
      <c r="I28" s="164">
        <f t="shared" si="8"/>
        <v>0.4</v>
      </c>
      <c r="J28" s="164">
        <f t="shared" si="9"/>
        <v>0</v>
      </c>
      <c r="K28" s="147">
        <f t="shared" si="10"/>
        <v>0</v>
      </c>
      <c r="L28" s="147">
        <f t="shared" si="11"/>
        <v>0</v>
      </c>
      <c r="M28" s="147">
        <f t="shared" si="3"/>
        <v>0.33353021633400093</v>
      </c>
      <c r="N28" s="147">
        <f t="shared" si="6"/>
        <v>0.35450933441629512</v>
      </c>
      <c r="O28" s="164">
        <f t="shared" si="12"/>
        <v>0.37680804327014955</v>
      </c>
      <c r="P28" s="147">
        <f t="shared" si="1"/>
        <v>0</v>
      </c>
      <c r="Q28" s="147">
        <f t="shared" si="4"/>
        <v>0</v>
      </c>
      <c r="R28" s="147">
        <f t="shared" si="7"/>
        <v>0</v>
      </c>
      <c r="S28" s="156">
        <f t="shared" si="13"/>
        <v>0</v>
      </c>
      <c r="T28" s="156">
        <f t="shared" si="2"/>
        <v>0</v>
      </c>
      <c r="U28" s="165">
        <f t="shared" si="17"/>
        <v>0</v>
      </c>
      <c r="V28" s="114"/>
      <c r="W28" s="154">
        <f t="shared" si="0"/>
        <v>0.94082209960187191</v>
      </c>
      <c r="Y28" s="179"/>
      <c r="Z28" s="179"/>
      <c r="AA28" s="179"/>
    </row>
    <row r="29" spans="1:27" x14ac:dyDescent="0.25">
      <c r="A29" s="163"/>
      <c r="B29" s="163"/>
      <c r="C29" s="438"/>
      <c r="D29" s="147" t="s">
        <v>197</v>
      </c>
      <c r="E29" s="166">
        <f t="shared" si="14"/>
        <v>0</v>
      </c>
      <c r="F29" s="167">
        <f t="shared" si="15"/>
        <v>0</v>
      </c>
      <c r="G29" s="168">
        <f t="shared" si="16"/>
        <v>0</v>
      </c>
      <c r="H29" s="147">
        <f t="shared" si="8"/>
        <v>5.9177900398128098E-2</v>
      </c>
      <c r="I29" s="164">
        <f t="shared" si="8"/>
        <v>0.4</v>
      </c>
      <c r="J29" s="164">
        <f t="shared" si="9"/>
        <v>0</v>
      </c>
      <c r="K29" s="147">
        <f t="shared" si="10"/>
        <v>0</v>
      </c>
      <c r="L29" s="147">
        <f t="shared" si="11"/>
        <v>0</v>
      </c>
      <c r="M29" s="147">
        <f t="shared" si="3"/>
        <v>0.31379259841202128</v>
      </c>
      <c r="N29" s="147">
        <f t="shared" si="6"/>
        <v>0.33353021633400093</v>
      </c>
      <c r="O29" s="164">
        <f t="shared" si="12"/>
        <v>0.35450933441629512</v>
      </c>
      <c r="P29" s="147">
        <f t="shared" si="1"/>
        <v>0</v>
      </c>
      <c r="Q29" s="147">
        <f t="shared" si="4"/>
        <v>0</v>
      </c>
      <c r="R29" s="147">
        <f t="shared" si="7"/>
        <v>0</v>
      </c>
      <c r="S29" s="156">
        <f t="shared" si="13"/>
        <v>0</v>
      </c>
      <c r="T29" s="156">
        <f t="shared" si="2"/>
        <v>0</v>
      </c>
      <c r="U29" s="165">
        <f t="shared" si="17"/>
        <v>0</v>
      </c>
      <c r="V29" s="114"/>
      <c r="W29" s="154">
        <f t="shared" si="0"/>
        <v>0.94082209960187191</v>
      </c>
      <c r="Y29" s="179"/>
      <c r="Z29" s="179"/>
      <c r="AA29" s="179"/>
    </row>
    <row r="30" spans="1:27" x14ac:dyDescent="0.25">
      <c r="A30" s="163"/>
      <c r="B30" s="163"/>
      <c r="C30" s="438"/>
      <c r="D30" s="147" t="s">
        <v>198</v>
      </c>
      <c r="E30" s="166">
        <f t="shared" si="14"/>
        <v>0</v>
      </c>
      <c r="F30" s="167">
        <f t="shared" si="15"/>
        <v>0</v>
      </c>
      <c r="G30" s="168">
        <f t="shared" si="16"/>
        <v>0</v>
      </c>
      <c r="H30" s="147">
        <f t="shared" ref="H30:I45" si="18">H29</f>
        <v>5.9177900398128098E-2</v>
      </c>
      <c r="I30" s="164">
        <f t="shared" si="18"/>
        <v>0.4</v>
      </c>
      <c r="J30" s="164">
        <f t="shared" si="9"/>
        <v>0</v>
      </c>
      <c r="K30" s="147">
        <f t="shared" si="10"/>
        <v>0</v>
      </c>
      <c r="L30" s="147">
        <f t="shared" si="11"/>
        <v>0</v>
      </c>
      <c r="M30" s="147">
        <f t="shared" si="3"/>
        <v>0.29522301127752487</v>
      </c>
      <c r="N30" s="147">
        <f t="shared" si="6"/>
        <v>0.31379259841202128</v>
      </c>
      <c r="O30" s="164">
        <f t="shared" si="12"/>
        <v>0.33353021633400093</v>
      </c>
      <c r="P30" s="147">
        <f t="shared" si="1"/>
        <v>0</v>
      </c>
      <c r="Q30" s="147">
        <f t="shared" si="4"/>
        <v>0</v>
      </c>
      <c r="R30" s="147">
        <f t="shared" si="7"/>
        <v>0</v>
      </c>
      <c r="S30" s="156">
        <f t="shared" si="13"/>
        <v>0</v>
      </c>
      <c r="T30" s="156">
        <f t="shared" si="2"/>
        <v>0</v>
      </c>
      <c r="U30" s="165">
        <f t="shared" si="17"/>
        <v>0</v>
      </c>
      <c r="W30" s="154">
        <f t="shared" si="0"/>
        <v>0.94082209960187191</v>
      </c>
    </row>
    <row r="31" spans="1:27" x14ac:dyDescent="0.25">
      <c r="A31" s="163"/>
      <c r="B31" s="163"/>
      <c r="C31" s="438"/>
      <c r="D31" s="147" t="s">
        <v>199</v>
      </c>
      <c r="E31" s="166">
        <f t="shared" si="14"/>
        <v>0</v>
      </c>
      <c r="F31" s="167">
        <f t="shared" si="15"/>
        <v>0</v>
      </c>
      <c r="G31" s="168">
        <f t="shared" si="16"/>
        <v>0</v>
      </c>
      <c r="H31" s="147">
        <f t="shared" si="18"/>
        <v>5.9177900398128098E-2</v>
      </c>
      <c r="I31" s="164">
        <f t="shared" si="18"/>
        <v>0.4</v>
      </c>
      <c r="J31" s="164">
        <f t="shared" si="9"/>
        <v>0</v>
      </c>
      <c r="K31" s="147">
        <f t="shared" si="10"/>
        <v>0</v>
      </c>
      <c r="L31" s="147">
        <f t="shared" si="11"/>
        <v>0</v>
      </c>
      <c r="M31" s="147">
        <f t="shared" si="3"/>
        <v>0.27775233332090804</v>
      </c>
      <c r="N31" s="147">
        <f t="shared" si="6"/>
        <v>0.29522301127752487</v>
      </c>
      <c r="O31" s="164">
        <f t="shared" si="12"/>
        <v>0.31379259841202128</v>
      </c>
      <c r="P31" s="147">
        <f t="shared" si="1"/>
        <v>0</v>
      </c>
      <c r="Q31" s="147">
        <f t="shared" si="4"/>
        <v>0</v>
      </c>
      <c r="R31" s="147">
        <f t="shared" si="7"/>
        <v>0</v>
      </c>
      <c r="S31" s="156">
        <f t="shared" si="13"/>
        <v>0</v>
      </c>
      <c r="T31" s="156">
        <f t="shared" si="2"/>
        <v>0</v>
      </c>
      <c r="U31" s="165">
        <f t="shared" si="17"/>
        <v>0</v>
      </c>
      <c r="W31" s="154">
        <f t="shared" si="0"/>
        <v>0.94082209960187191</v>
      </c>
    </row>
    <row r="32" spans="1:27" x14ac:dyDescent="0.25">
      <c r="A32" s="163"/>
      <c r="B32" s="163"/>
      <c r="C32" s="438"/>
      <c r="D32" s="147" t="s">
        <v>200</v>
      </c>
      <c r="E32" s="166">
        <f t="shared" si="14"/>
        <v>0</v>
      </c>
      <c r="F32" s="167">
        <f t="shared" si="15"/>
        <v>0</v>
      </c>
      <c r="G32" s="168">
        <f t="shared" si="16"/>
        <v>0</v>
      </c>
      <c r="H32" s="147">
        <f t="shared" si="18"/>
        <v>5.9177900398128098E-2</v>
      </c>
      <c r="I32" s="164">
        <f t="shared" si="18"/>
        <v>0.4</v>
      </c>
      <c r="J32" s="164">
        <f t="shared" si="9"/>
        <v>0</v>
      </c>
      <c r="K32" s="147">
        <f t="shared" si="10"/>
        <v>0</v>
      </c>
      <c r="L32" s="147">
        <f t="shared" si="11"/>
        <v>0</v>
      </c>
      <c r="M32" s="147">
        <f t="shared" si="3"/>
        <v>0.2613155334042957</v>
      </c>
      <c r="N32" s="147">
        <f t="shared" si="6"/>
        <v>0.27775233332090804</v>
      </c>
      <c r="O32" s="164">
        <f t="shared" si="12"/>
        <v>0.29522301127752487</v>
      </c>
      <c r="P32" s="147">
        <f t="shared" si="1"/>
        <v>0</v>
      </c>
      <c r="Q32" s="147">
        <f t="shared" si="4"/>
        <v>0</v>
      </c>
      <c r="R32" s="147">
        <f t="shared" si="7"/>
        <v>0</v>
      </c>
      <c r="S32" s="156">
        <f t="shared" si="13"/>
        <v>0</v>
      </c>
      <c r="T32" s="156">
        <f t="shared" si="2"/>
        <v>0</v>
      </c>
      <c r="U32" s="165">
        <f t="shared" si="17"/>
        <v>0</v>
      </c>
      <c r="W32" s="154">
        <f t="shared" si="0"/>
        <v>0.94082209960187191</v>
      </c>
    </row>
    <row r="33" spans="1:23" x14ac:dyDescent="0.25">
      <c r="A33" s="163"/>
      <c r="B33" s="163"/>
      <c r="C33" s="438"/>
      <c r="D33" s="147" t="s">
        <v>201</v>
      </c>
      <c r="E33" s="166">
        <f t="shared" si="14"/>
        <v>0</v>
      </c>
      <c r="F33" s="167">
        <f t="shared" si="15"/>
        <v>0</v>
      </c>
      <c r="G33" s="168">
        <f t="shared" si="16"/>
        <v>0</v>
      </c>
      <c r="H33" s="147">
        <f t="shared" si="18"/>
        <v>5.9177900398128098E-2</v>
      </c>
      <c r="I33" s="164">
        <f t="shared" si="18"/>
        <v>0.4</v>
      </c>
      <c r="J33" s="164">
        <f t="shared" si="9"/>
        <v>0</v>
      </c>
      <c r="K33" s="147">
        <f t="shared" si="10"/>
        <v>0</v>
      </c>
      <c r="L33" s="147">
        <f t="shared" si="11"/>
        <v>0</v>
      </c>
      <c r="M33" s="147">
        <f t="shared" si="3"/>
        <v>0.24585142879601257</v>
      </c>
      <c r="N33" s="147">
        <f t="shared" si="6"/>
        <v>0.2613155334042957</v>
      </c>
      <c r="O33" s="164">
        <f t="shared" si="12"/>
        <v>0.27775233332090804</v>
      </c>
      <c r="P33" s="147">
        <f t="shared" si="1"/>
        <v>0</v>
      </c>
      <c r="Q33" s="147">
        <f t="shared" si="4"/>
        <v>0</v>
      </c>
      <c r="R33" s="147">
        <f t="shared" si="7"/>
        <v>0</v>
      </c>
      <c r="S33" s="156">
        <f t="shared" si="13"/>
        <v>0</v>
      </c>
      <c r="T33" s="156">
        <f t="shared" si="2"/>
        <v>0</v>
      </c>
      <c r="U33" s="165">
        <f t="shared" si="17"/>
        <v>0</v>
      </c>
      <c r="W33" s="154">
        <f t="shared" si="0"/>
        <v>0.94082209960187191</v>
      </c>
    </row>
    <row r="34" spans="1:23" x14ac:dyDescent="0.25">
      <c r="A34" s="163"/>
      <c r="B34" s="163"/>
      <c r="C34" s="438"/>
      <c r="D34" s="147" t="s">
        <v>202</v>
      </c>
      <c r="E34" s="166">
        <f t="shared" si="14"/>
        <v>0</v>
      </c>
      <c r="F34" s="167">
        <f t="shared" si="15"/>
        <v>0</v>
      </c>
      <c r="G34" s="168">
        <f t="shared" si="16"/>
        <v>0</v>
      </c>
      <c r="H34" s="147">
        <f t="shared" si="18"/>
        <v>5.9177900398128098E-2</v>
      </c>
      <c r="I34" s="164">
        <f t="shared" si="18"/>
        <v>0.4</v>
      </c>
      <c r="J34" s="164">
        <f t="shared" si="9"/>
        <v>0</v>
      </c>
      <c r="K34" s="147">
        <f t="shared" si="10"/>
        <v>0</v>
      </c>
      <c r="L34" s="147">
        <f t="shared" si="11"/>
        <v>0</v>
      </c>
      <c r="M34" s="147">
        <f t="shared" si="3"/>
        <v>0.23130245742998465</v>
      </c>
      <c r="N34" s="147">
        <f t="shared" si="6"/>
        <v>0.24585142879601257</v>
      </c>
      <c r="O34" s="164">
        <f t="shared" si="12"/>
        <v>0.2613155334042957</v>
      </c>
      <c r="P34" s="147">
        <f t="shared" si="1"/>
        <v>0</v>
      </c>
      <c r="Q34" s="147">
        <f t="shared" si="4"/>
        <v>0</v>
      </c>
      <c r="R34" s="147">
        <f t="shared" si="7"/>
        <v>0</v>
      </c>
      <c r="S34" s="156">
        <f t="shared" si="13"/>
        <v>0</v>
      </c>
      <c r="T34" s="156">
        <f t="shared" si="2"/>
        <v>0</v>
      </c>
      <c r="U34" s="165">
        <f t="shared" si="17"/>
        <v>0</v>
      </c>
      <c r="W34" s="154">
        <f t="shared" si="0"/>
        <v>0.94082209960187191</v>
      </c>
    </row>
    <row r="35" spans="1:23" x14ac:dyDescent="0.25">
      <c r="A35" s="163"/>
      <c r="B35" s="163"/>
      <c r="C35" s="438"/>
      <c r="D35" s="147" t="s">
        <v>203</v>
      </c>
      <c r="E35" s="166">
        <f t="shared" si="14"/>
        <v>0</v>
      </c>
      <c r="F35" s="167">
        <f t="shared" si="15"/>
        <v>0</v>
      </c>
      <c r="G35" s="168">
        <f t="shared" si="16"/>
        <v>0</v>
      </c>
      <c r="H35" s="147">
        <f t="shared" si="18"/>
        <v>5.9177900398128098E-2</v>
      </c>
      <c r="I35" s="164">
        <f t="shared" si="18"/>
        <v>0.4</v>
      </c>
      <c r="J35" s="164">
        <f t="shared" si="9"/>
        <v>0</v>
      </c>
      <c r="K35" s="147">
        <f t="shared" si="10"/>
        <v>0</v>
      </c>
      <c r="L35" s="147">
        <f t="shared" si="11"/>
        <v>0</v>
      </c>
      <c r="M35" s="147">
        <f t="shared" si="3"/>
        <v>0.21761446364235076</v>
      </c>
      <c r="N35" s="147">
        <f t="shared" si="6"/>
        <v>0.23130245742998465</v>
      </c>
      <c r="O35" s="164">
        <f t="shared" si="12"/>
        <v>0.24585142879601257</v>
      </c>
      <c r="P35" s="147">
        <f t="shared" si="1"/>
        <v>0</v>
      </c>
      <c r="Q35" s="147">
        <f t="shared" si="4"/>
        <v>0</v>
      </c>
      <c r="R35" s="147">
        <f t="shared" si="7"/>
        <v>0</v>
      </c>
      <c r="S35" s="156">
        <f t="shared" si="13"/>
        <v>0</v>
      </c>
      <c r="T35" s="156">
        <f t="shared" si="2"/>
        <v>0</v>
      </c>
      <c r="U35" s="165">
        <f t="shared" si="17"/>
        <v>0</v>
      </c>
      <c r="W35" s="154">
        <f t="shared" si="0"/>
        <v>0.94082209960187191</v>
      </c>
    </row>
    <row r="36" spans="1:23" x14ac:dyDescent="0.25">
      <c r="A36" s="163"/>
      <c r="B36" s="163"/>
      <c r="C36" s="438"/>
      <c r="D36" s="147" t="s">
        <v>204</v>
      </c>
      <c r="E36" s="166">
        <f t="shared" si="14"/>
        <v>0</v>
      </c>
      <c r="F36" s="167">
        <f t="shared" si="15"/>
        <v>0</v>
      </c>
      <c r="G36" s="168">
        <f t="shared" si="16"/>
        <v>0</v>
      </c>
      <c r="H36" s="147">
        <f t="shared" si="18"/>
        <v>5.9177900398128098E-2</v>
      </c>
      <c r="I36" s="164">
        <f t="shared" si="18"/>
        <v>0.4</v>
      </c>
      <c r="J36" s="164">
        <f t="shared" si="9"/>
        <v>0</v>
      </c>
      <c r="K36" s="147">
        <f t="shared" si="10"/>
        <v>0</v>
      </c>
      <c r="L36" s="147">
        <f t="shared" si="11"/>
        <v>0</v>
      </c>
      <c r="M36" s="147">
        <f t="shared" si="3"/>
        <v>0.20473649658773166</v>
      </c>
      <c r="N36" s="147">
        <f t="shared" si="6"/>
        <v>0.21761446364235076</v>
      </c>
      <c r="O36" s="164">
        <f t="shared" si="12"/>
        <v>0.23130245742998465</v>
      </c>
      <c r="P36" s="147">
        <f t="shared" si="1"/>
        <v>0</v>
      </c>
      <c r="Q36" s="147">
        <f t="shared" si="4"/>
        <v>0</v>
      </c>
      <c r="R36" s="147">
        <f t="shared" si="7"/>
        <v>0</v>
      </c>
      <c r="S36" s="156">
        <f t="shared" si="13"/>
        <v>0</v>
      </c>
      <c r="T36" s="156">
        <f t="shared" si="2"/>
        <v>0</v>
      </c>
      <c r="U36" s="165">
        <f t="shared" si="17"/>
        <v>0</v>
      </c>
      <c r="W36" s="154">
        <f t="shared" si="0"/>
        <v>0.94082209960187191</v>
      </c>
    </row>
    <row r="37" spans="1:23" x14ac:dyDescent="0.25">
      <c r="A37" s="163"/>
      <c r="B37" s="163"/>
      <c r="C37" s="438"/>
      <c r="D37" s="147" t="s">
        <v>205</v>
      </c>
      <c r="E37" s="166">
        <f t="shared" si="14"/>
        <v>0</v>
      </c>
      <c r="F37" s="167">
        <f t="shared" si="15"/>
        <v>0</v>
      </c>
      <c r="G37" s="168">
        <f t="shared" si="16"/>
        <v>0</v>
      </c>
      <c r="H37" s="147">
        <f t="shared" si="18"/>
        <v>5.9177900398128098E-2</v>
      </c>
      <c r="I37" s="164">
        <f t="shared" si="18"/>
        <v>0.4</v>
      </c>
      <c r="J37" s="164">
        <f t="shared" si="9"/>
        <v>0</v>
      </c>
      <c r="K37" s="147">
        <f t="shared" si="10"/>
        <v>0</v>
      </c>
      <c r="L37" s="147">
        <f t="shared" si="11"/>
        <v>0</v>
      </c>
      <c r="M37" s="147">
        <f t="shared" si="3"/>
        <v>0.19262062058480117</v>
      </c>
      <c r="N37" s="147">
        <f t="shared" si="6"/>
        <v>0.20473649658773166</v>
      </c>
      <c r="O37" s="164">
        <f t="shared" si="12"/>
        <v>0.21761446364235076</v>
      </c>
      <c r="P37" s="147">
        <f t="shared" si="1"/>
        <v>0</v>
      </c>
      <c r="Q37" s="147">
        <f t="shared" si="4"/>
        <v>0</v>
      </c>
      <c r="R37" s="147">
        <f t="shared" si="7"/>
        <v>0</v>
      </c>
      <c r="S37" s="156">
        <f t="shared" si="13"/>
        <v>0</v>
      </c>
      <c r="T37" s="156">
        <f t="shared" si="2"/>
        <v>0</v>
      </c>
      <c r="U37" s="165">
        <f t="shared" si="17"/>
        <v>0</v>
      </c>
      <c r="W37" s="154">
        <f t="shared" si="0"/>
        <v>0.94082209960187191</v>
      </c>
    </row>
    <row r="38" spans="1:23" x14ac:dyDescent="0.25">
      <c r="A38" s="163"/>
      <c r="B38" s="163"/>
      <c r="C38" s="438"/>
      <c r="D38" s="147" t="s">
        <v>206</v>
      </c>
      <c r="E38" s="166">
        <f t="shared" si="14"/>
        <v>0</v>
      </c>
      <c r="F38" s="167">
        <f t="shared" si="15"/>
        <v>0</v>
      </c>
      <c r="G38" s="168">
        <f t="shared" si="16"/>
        <v>0</v>
      </c>
      <c r="H38" s="147">
        <f t="shared" si="18"/>
        <v>5.9177900398128098E-2</v>
      </c>
      <c r="I38" s="164">
        <f t="shared" si="18"/>
        <v>0.4</v>
      </c>
      <c r="J38" s="164">
        <f t="shared" si="9"/>
        <v>0</v>
      </c>
      <c r="K38" s="147">
        <f t="shared" si="10"/>
        <v>0</v>
      </c>
      <c r="L38" s="147">
        <f t="shared" si="11"/>
        <v>0</v>
      </c>
      <c r="M38" s="147">
        <f t="shared" si="3"/>
        <v>0.18122173668520819</v>
      </c>
      <c r="N38" s="147">
        <f t="shared" si="6"/>
        <v>0.19262062058480117</v>
      </c>
      <c r="O38" s="164">
        <f t="shared" si="12"/>
        <v>0.20473649658773166</v>
      </c>
      <c r="P38" s="147">
        <f t="shared" si="1"/>
        <v>0</v>
      </c>
      <c r="Q38" s="147">
        <f t="shared" si="4"/>
        <v>0</v>
      </c>
      <c r="R38" s="147">
        <f t="shared" si="7"/>
        <v>0</v>
      </c>
      <c r="S38" s="156">
        <f t="shared" si="13"/>
        <v>0</v>
      </c>
      <c r="T38" s="156">
        <f t="shared" si="2"/>
        <v>0</v>
      </c>
      <c r="U38" s="165">
        <f t="shared" si="17"/>
        <v>0</v>
      </c>
      <c r="W38" s="154">
        <f t="shared" si="0"/>
        <v>0.94082209960187191</v>
      </c>
    </row>
    <row r="39" spans="1:23" x14ac:dyDescent="0.25">
      <c r="A39" s="163"/>
      <c r="B39" s="163"/>
      <c r="C39" s="438"/>
      <c r="D39" s="147" t="s">
        <v>207</v>
      </c>
      <c r="E39" s="166">
        <f t="shared" si="14"/>
        <v>0</v>
      </c>
      <c r="F39" s="167">
        <f t="shared" si="15"/>
        <v>0</v>
      </c>
      <c r="G39" s="168">
        <f t="shared" si="16"/>
        <v>0</v>
      </c>
      <c r="H39" s="147">
        <f t="shared" si="18"/>
        <v>5.9177900398128098E-2</v>
      </c>
      <c r="I39" s="164">
        <f t="shared" si="18"/>
        <v>0.4</v>
      </c>
      <c r="J39" s="164">
        <f t="shared" si="9"/>
        <v>0</v>
      </c>
      <c r="K39" s="147">
        <f t="shared" si="10"/>
        <v>0</v>
      </c>
      <c r="L39" s="147">
        <f t="shared" si="11"/>
        <v>0</v>
      </c>
      <c r="M39" s="147">
        <f t="shared" si="3"/>
        <v>0.17049741480167516</v>
      </c>
      <c r="N39" s="147">
        <f t="shared" si="6"/>
        <v>0.18122173668520819</v>
      </c>
      <c r="O39" s="164">
        <f t="shared" si="12"/>
        <v>0.19262062058480117</v>
      </c>
      <c r="P39" s="147">
        <f t="shared" si="1"/>
        <v>0</v>
      </c>
      <c r="Q39" s="147">
        <f t="shared" si="4"/>
        <v>0</v>
      </c>
      <c r="R39" s="147">
        <f t="shared" si="7"/>
        <v>0</v>
      </c>
      <c r="S39" s="156">
        <f t="shared" si="13"/>
        <v>0</v>
      </c>
      <c r="T39" s="156">
        <f t="shared" si="2"/>
        <v>0</v>
      </c>
      <c r="U39" s="165">
        <f t="shared" si="17"/>
        <v>0</v>
      </c>
      <c r="W39" s="154">
        <f t="shared" si="0"/>
        <v>0.94082209960187191</v>
      </c>
    </row>
    <row r="40" spans="1:23" x14ac:dyDescent="0.25">
      <c r="A40" s="163"/>
      <c r="B40" s="163"/>
      <c r="C40" s="438"/>
      <c r="D40" s="147" t="s">
        <v>208</v>
      </c>
      <c r="E40" s="166">
        <f t="shared" si="14"/>
        <v>0</v>
      </c>
      <c r="F40" s="167">
        <f t="shared" si="15"/>
        <v>0</v>
      </c>
      <c r="G40" s="168">
        <f t="shared" si="16"/>
        <v>0</v>
      </c>
      <c r="H40" s="147">
        <f t="shared" si="18"/>
        <v>5.9177900398128098E-2</v>
      </c>
      <c r="I40" s="164">
        <f t="shared" si="18"/>
        <v>0.4</v>
      </c>
      <c r="J40" s="164">
        <f t="shared" si="9"/>
        <v>0</v>
      </c>
      <c r="K40" s="147">
        <f t="shared" si="10"/>
        <v>0</v>
      </c>
      <c r="L40" s="147">
        <f t="shared" si="11"/>
        <v>0</v>
      </c>
      <c r="M40" s="147">
        <f t="shared" si="3"/>
        <v>0.16040773577040329</v>
      </c>
      <c r="N40" s="147">
        <f t="shared" si="6"/>
        <v>0.17049741480167516</v>
      </c>
      <c r="O40" s="164">
        <f t="shared" si="12"/>
        <v>0.18122173668520819</v>
      </c>
      <c r="P40" s="147">
        <f t="shared" si="1"/>
        <v>0</v>
      </c>
      <c r="Q40" s="147">
        <f t="shared" si="4"/>
        <v>0</v>
      </c>
      <c r="R40" s="147">
        <f t="shared" si="7"/>
        <v>0</v>
      </c>
      <c r="S40" s="156">
        <f t="shared" si="13"/>
        <v>0</v>
      </c>
      <c r="T40" s="156">
        <f t="shared" si="2"/>
        <v>0</v>
      </c>
      <c r="U40" s="165">
        <f t="shared" si="17"/>
        <v>0</v>
      </c>
      <c r="W40" s="154">
        <f t="shared" si="0"/>
        <v>0.94082209960187191</v>
      </c>
    </row>
    <row r="41" spans="1:23" x14ac:dyDescent="0.25">
      <c r="A41" s="163"/>
      <c r="B41" s="163"/>
      <c r="C41" s="438"/>
      <c r="D41" s="147" t="s">
        <v>209</v>
      </c>
      <c r="E41" s="166">
        <f t="shared" si="14"/>
        <v>0</v>
      </c>
      <c r="F41" s="167">
        <f t="shared" si="15"/>
        <v>0</v>
      </c>
      <c r="G41" s="168">
        <f t="shared" si="16"/>
        <v>0</v>
      </c>
      <c r="H41" s="147">
        <f t="shared" si="18"/>
        <v>5.9177900398128098E-2</v>
      </c>
      <c r="I41" s="164">
        <f t="shared" si="18"/>
        <v>0.4</v>
      </c>
      <c r="J41" s="164">
        <f t="shared" si="9"/>
        <v>0</v>
      </c>
      <c r="K41" s="147">
        <f t="shared" si="10"/>
        <v>0</v>
      </c>
      <c r="L41" s="147">
        <f t="shared" si="11"/>
        <v>0</v>
      </c>
      <c r="M41" s="147">
        <f t="shared" si="3"/>
        <v>0.15091514275989312</v>
      </c>
      <c r="N41" s="147">
        <f t="shared" si="6"/>
        <v>0.16040773577040329</v>
      </c>
      <c r="O41" s="164">
        <f t="shared" si="12"/>
        <v>0.17049741480167516</v>
      </c>
      <c r="P41" s="147">
        <f t="shared" si="1"/>
        <v>0</v>
      </c>
      <c r="Q41" s="147">
        <f t="shared" si="4"/>
        <v>0</v>
      </c>
      <c r="R41" s="147">
        <f t="shared" si="7"/>
        <v>0</v>
      </c>
      <c r="S41" s="156">
        <f t="shared" si="13"/>
        <v>0</v>
      </c>
      <c r="T41" s="156">
        <f t="shared" si="2"/>
        <v>0</v>
      </c>
      <c r="U41" s="165">
        <f t="shared" si="17"/>
        <v>0</v>
      </c>
      <c r="W41" s="154">
        <f t="shared" si="0"/>
        <v>0.94082209960187191</v>
      </c>
    </row>
    <row r="42" spans="1:23" x14ac:dyDescent="0.25">
      <c r="A42" s="163"/>
      <c r="B42" s="163"/>
      <c r="C42" s="438"/>
      <c r="D42" s="147" t="s">
        <v>210</v>
      </c>
      <c r="E42" s="166">
        <f t="shared" si="14"/>
        <v>0</v>
      </c>
      <c r="F42" s="167">
        <f t="shared" si="15"/>
        <v>0</v>
      </c>
      <c r="G42" s="168">
        <f t="shared" si="16"/>
        <v>0</v>
      </c>
      <c r="H42" s="147">
        <f t="shared" si="18"/>
        <v>5.9177900398128098E-2</v>
      </c>
      <c r="I42" s="164">
        <f t="shared" si="18"/>
        <v>0.4</v>
      </c>
      <c r="J42" s="164">
        <f t="shared" si="9"/>
        <v>0</v>
      </c>
      <c r="K42" s="147">
        <f t="shared" si="10"/>
        <v>0</v>
      </c>
      <c r="L42" s="147">
        <f t="shared" si="11"/>
        <v>0</v>
      </c>
      <c r="M42" s="147">
        <f t="shared" si="3"/>
        <v>0.14198430147307889</v>
      </c>
      <c r="N42" s="147">
        <f t="shared" si="6"/>
        <v>0.15091514275989312</v>
      </c>
      <c r="O42" s="164">
        <f t="shared" si="12"/>
        <v>0.16040773577040329</v>
      </c>
      <c r="P42" s="147">
        <f t="shared" si="1"/>
        <v>0</v>
      </c>
      <c r="Q42" s="147">
        <f t="shared" si="4"/>
        <v>0</v>
      </c>
      <c r="R42" s="147">
        <f t="shared" si="7"/>
        <v>0</v>
      </c>
      <c r="S42" s="156">
        <f t="shared" si="13"/>
        <v>0</v>
      </c>
      <c r="T42" s="156">
        <f t="shared" si="2"/>
        <v>0</v>
      </c>
      <c r="U42" s="165">
        <f t="shared" si="17"/>
        <v>0</v>
      </c>
      <c r="W42" s="154">
        <f t="shared" si="0"/>
        <v>0.94082209960187191</v>
      </c>
    </row>
    <row r="43" spans="1:23" x14ac:dyDescent="0.25">
      <c r="A43" s="163"/>
      <c r="B43" s="163"/>
      <c r="C43" s="438"/>
      <c r="D43" s="147" t="s">
        <v>211</v>
      </c>
      <c r="E43" s="166">
        <f t="shared" si="14"/>
        <v>0</v>
      </c>
      <c r="F43" s="167">
        <f t="shared" si="15"/>
        <v>0</v>
      </c>
      <c r="G43" s="168">
        <f t="shared" si="16"/>
        <v>0</v>
      </c>
      <c r="H43" s="147">
        <f t="shared" si="18"/>
        <v>5.9177900398128098E-2</v>
      </c>
      <c r="I43" s="164">
        <f t="shared" si="18"/>
        <v>0.4</v>
      </c>
      <c r="J43" s="164">
        <f t="shared" si="9"/>
        <v>0</v>
      </c>
      <c r="K43" s="147">
        <f t="shared" si="10"/>
        <v>0</v>
      </c>
      <c r="L43" s="147">
        <f t="shared" si="11"/>
        <v>0</v>
      </c>
      <c r="M43" s="147">
        <f t="shared" si="3"/>
        <v>0.13358196862240723</v>
      </c>
      <c r="N43" s="147">
        <f t="shared" si="6"/>
        <v>0.14198430147307889</v>
      </c>
      <c r="O43" s="164">
        <f t="shared" si="12"/>
        <v>0.15091514275989312</v>
      </c>
      <c r="P43" s="147">
        <f t="shared" si="1"/>
        <v>0</v>
      </c>
      <c r="Q43" s="147">
        <f t="shared" si="4"/>
        <v>0</v>
      </c>
      <c r="R43" s="147">
        <f t="shared" si="7"/>
        <v>0</v>
      </c>
      <c r="S43" s="156">
        <f t="shared" si="13"/>
        <v>0</v>
      </c>
      <c r="T43" s="156">
        <f t="shared" si="2"/>
        <v>0</v>
      </c>
      <c r="U43" s="165">
        <f t="shared" si="17"/>
        <v>0</v>
      </c>
      <c r="W43" s="154">
        <f t="shared" si="0"/>
        <v>0.94082209960187191</v>
      </c>
    </row>
    <row r="44" spans="1:23" x14ac:dyDescent="0.25">
      <c r="A44" s="163"/>
      <c r="B44" s="163"/>
      <c r="C44" s="438"/>
      <c r="D44" s="147" t="s">
        <v>212</v>
      </c>
      <c r="E44" s="166">
        <f t="shared" si="14"/>
        <v>0</v>
      </c>
      <c r="F44" s="167">
        <f t="shared" si="15"/>
        <v>0</v>
      </c>
      <c r="G44" s="168">
        <f t="shared" si="16"/>
        <v>0</v>
      </c>
      <c r="H44" s="147">
        <f t="shared" si="18"/>
        <v>5.9177900398128098E-2</v>
      </c>
      <c r="I44" s="164">
        <f t="shared" si="18"/>
        <v>0.4</v>
      </c>
      <c r="J44" s="164">
        <f t="shared" si="9"/>
        <v>0</v>
      </c>
      <c r="K44" s="147">
        <f t="shared" si="10"/>
        <v>0</v>
      </c>
      <c r="L44" s="147">
        <f t="shared" si="11"/>
        <v>0</v>
      </c>
      <c r="M44" s="147">
        <f t="shared" si="3"/>
        <v>0.12567686818828455</v>
      </c>
      <c r="N44" s="147">
        <f t="shared" si="6"/>
        <v>0.13358196862240723</v>
      </c>
      <c r="O44" s="164">
        <f t="shared" si="12"/>
        <v>0.14198430147307889</v>
      </c>
      <c r="P44" s="147">
        <f t="shared" si="1"/>
        <v>0</v>
      </c>
      <c r="Q44" s="147">
        <f t="shared" si="4"/>
        <v>0</v>
      </c>
      <c r="R44" s="147">
        <f t="shared" si="7"/>
        <v>0</v>
      </c>
      <c r="S44" s="156">
        <f t="shared" si="13"/>
        <v>0</v>
      </c>
      <c r="T44" s="156">
        <f t="shared" si="2"/>
        <v>0</v>
      </c>
      <c r="U44" s="165">
        <f t="shared" si="17"/>
        <v>0</v>
      </c>
      <c r="W44" s="154">
        <f t="shared" si="0"/>
        <v>0.94082209960187191</v>
      </c>
    </row>
    <row r="45" spans="1:23" x14ac:dyDescent="0.25">
      <c r="A45" s="163"/>
      <c r="B45" s="163"/>
      <c r="C45" s="438"/>
      <c r="D45" s="147" t="s">
        <v>213</v>
      </c>
      <c r="E45" s="166">
        <f t="shared" si="14"/>
        <v>0</v>
      </c>
      <c r="F45" s="167">
        <f t="shared" si="15"/>
        <v>0</v>
      </c>
      <c r="G45" s="168">
        <f t="shared" si="16"/>
        <v>0</v>
      </c>
      <c r="H45" s="147">
        <f t="shared" si="18"/>
        <v>5.9177900398128098E-2</v>
      </c>
      <c r="I45" s="164">
        <f t="shared" si="18"/>
        <v>0.4</v>
      </c>
      <c r="J45" s="164">
        <f t="shared" si="9"/>
        <v>0</v>
      </c>
      <c r="K45" s="147">
        <f t="shared" si="10"/>
        <v>0</v>
      </c>
      <c r="L45" s="147">
        <f t="shared" si="11"/>
        <v>0</v>
      </c>
      <c r="M45" s="147">
        <f t="shared" si="3"/>
        <v>0.11823957500028957</v>
      </c>
      <c r="N45" s="147">
        <f t="shared" si="6"/>
        <v>0.12567686818828455</v>
      </c>
      <c r="O45" s="164">
        <f t="shared" si="12"/>
        <v>0.13358196862240723</v>
      </c>
      <c r="P45" s="147">
        <f t="shared" si="1"/>
        <v>0</v>
      </c>
      <c r="Q45" s="147">
        <f t="shared" si="4"/>
        <v>0</v>
      </c>
      <c r="R45" s="147">
        <f t="shared" si="7"/>
        <v>0</v>
      </c>
      <c r="S45" s="156">
        <f t="shared" si="13"/>
        <v>0</v>
      </c>
      <c r="T45" s="156">
        <f t="shared" si="2"/>
        <v>0</v>
      </c>
      <c r="U45" s="165">
        <f t="shared" si="17"/>
        <v>0</v>
      </c>
      <c r="W45" s="154">
        <f t="shared" si="0"/>
        <v>0.94082209960187191</v>
      </c>
    </row>
    <row r="46" spans="1:23" x14ac:dyDescent="0.25">
      <c r="A46" s="163"/>
      <c r="B46" s="163"/>
      <c r="C46" s="438"/>
      <c r="D46" s="147" t="s">
        <v>214</v>
      </c>
      <c r="E46" s="166">
        <f t="shared" si="14"/>
        <v>0</v>
      </c>
      <c r="F46" s="167">
        <f t="shared" si="15"/>
        <v>0</v>
      </c>
      <c r="G46" s="168">
        <f t="shared" si="16"/>
        <v>0</v>
      </c>
      <c r="H46" s="147">
        <f t="shared" ref="H46:I61" si="19">H45</f>
        <v>5.9177900398128098E-2</v>
      </c>
      <c r="I46" s="164">
        <f t="shared" si="19"/>
        <v>0.4</v>
      </c>
      <c r="J46" s="164">
        <f t="shared" si="9"/>
        <v>0</v>
      </c>
      <c r="K46" s="147">
        <f t="shared" si="10"/>
        <v>0</v>
      </c>
      <c r="L46" s="147">
        <f t="shared" si="11"/>
        <v>0</v>
      </c>
      <c r="M46" s="147">
        <f t="shared" si="3"/>
        <v>0.11124240520780544</v>
      </c>
      <c r="N46" s="147">
        <f t="shared" si="6"/>
        <v>0.11823957500028957</v>
      </c>
      <c r="O46" s="164">
        <f t="shared" si="12"/>
        <v>0.12567686818828455</v>
      </c>
      <c r="P46" s="147">
        <f t="shared" si="1"/>
        <v>0</v>
      </c>
      <c r="Q46" s="147">
        <f t="shared" si="4"/>
        <v>0</v>
      </c>
      <c r="R46" s="147">
        <f t="shared" si="7"/>
        <v>0</v>
      </c>
      <c r="S46" s="156">
        <f t="shared" si="13"/>
        <v>0</v>
      </c>
      <c r="T46" s="156">
        <f t="shared" si="2"/>
        <v>0</v>
      </c>
      <c r="U46" s="165">
        <f t="shared" si="17"/>
        <v>0</v>
      </c>
      <c r="W46" s="154">
        <f t="shared" si="0"/>
        <v>0.94082209960187191</v>
      </c>
    </row>
    <row r="47" spans="1:23" x14ac:dyDescent="0.25">
      <c r="A47" s="163"/>
      <c r="B47" s="163"/>
      <c r="C47" s="438"/>
      <c r="D47" s="147" t="s">
        <v>215</v>
      </c>
      <c r="E47" s="166">
        <f t="shared" si="14"/>
        <v>0</v>
      </c>
      <c r="F47" s="167">
        <f t="shared" si="15"/>
        <v>0</v>
      </c>
      <c r="G47" s="168">
        <f t="shared" si="16"/>
        <v>0</v>
      </c>
      <c r="H47" s="147">
        <f t="shared" si="19"/>
        <v>5.9177900398128098E-2</v>
      </c>
      <c r="I47" s="164">
        <f t="shared" si="19"/>
        <v>0.4</v>
      </c>
      <c r="J47" s="164">
        <f t="shared" si="9"/>
        <v>0</v>
      </c>
      <c r="K47" s="147">
        <f t="shared" si="10"/>
        <v>0</v>
      </c>
      <c r="L47" s="147">
        <f t="shared" si="11"/>
        <v>0</v>
      </c>
      <c r="M47" s="147">
        <f t="shared" si="3"/>
        <v>0.10465931323236972</v>
      </c>
      <c r="N47" s="147">
        <f t="shared" si="6"/>
        <v>0.11124240520780544</v>
      </c>
      <c r="O47" s="164">
        <f t="shared" si="12"/>
        <v>0.11823957500028957</v>
      </c>
      <c r="P47" s="147">
        <f t="shared" si="1"/>
        <v>0</v>
      </c>
      <c r="Q47" s="147">
        <f t="shared" si="4"/>
        <v>0</v>
      </c>
      <c r="R47" s="147">
        <f t="shared" si="7"/>
        <v>0</v>
      </c>
      <c r="S47" s="156">
        <f t="shared" si="13"/>
        <v>0</v>
      </c>
      <c r="T47" s="156">
        <f t="shared" si="2"/>
        <v>0</v>
      </c>
      <c r="U47" s="165">
        <f t="shared" si="17"/>
        <v>0</v>
      </c>
      <c r="W47" s="154">
        <f t="shared" si="0"/>
        <v>0.94082209960187191</v>
      </c>
    </row>
    <row r="48" spans="1:23" x14ac:dyDescent="0.25">
      <c r="A48" s="163"/>
      <c r="B48" s="163"/>
      <c r="C48" s="438"/>
      <c r="D48" s="147" t="s">
        <v>216</v>
      </c>
      <c r="E48" s="166">
        <f t="shared" si="14"/>
        <v>0</v>
      </c>
      <c r="F48" s="167">
        <f t="shared" si="15"/>
        <v>0</v>
      </c>
      <c r="G48" s="168">
        <f t="shared" si="16"/>
        <v>0</v>
      </c>
      <c r="H48" s="147">
        <f t="shared" si="19"/>
        <v>5.9177900398128098E-2</v>
      </c>
      <c r="I48" s="164">
        <f t="shared" si="19"/>
        <v>0.4</v>
      </c>
      <c r="J48" s="164">
        <f t="shared" si="9"/>
        <v>0</v>
      </c>
      <c r="K48" s="147">
        <f t="shared" si="10"/>
        <v>0</v>
      </c>
      <c r="L48" s="147">
        <f t="shared" si="11"/>
        <v>0</v>
      </c>
      <c r="M48" s="147">
        <f t="shared" si="3"/>
        <v>9.8465794818168056E-2</v>
      </c>
      <c r="N48" s="147">
        <f t="shared" si="6"/>
        <v>0.10465931323236972</v>
      </c>
      <c r="O48" s="164">
        <f t="shared" si="12"/>
        <v>0.11124240520780544</v>
      </c>
      <c r="P48" s="147">
        <f t="shared" si="1"/>
        <v>0</v>
      </c>
      <c r="Q48" s="147">
        <f t="shared" si="4"/>
        <v>0</v>
      </c>
      <c r="R48" s="147">
        <f t="shared" si="7"/>
        <v>0</v>
      </c>
      <c r="S48" s="156">
        <f t="shared" si="13"/>
        <v>0</v>
      </c>
      <c r="T48" s="156">
        <f t="shared" si="2"/>
        <v>0</v>
      </c>
      <c r="U48" s="165">
        <f t="shared" si="17"/>
        <v>0</v>
      </c>
      <c r="W48" s="154">
        <f t="shared" si="0"/>
        <v>0.94082209960187191</v>
      </c>
    </row>
    <row r="49" spans="1:23" x14ac:dyDescent="0.25">
      <c r="A49" s="163"/>
      <c r="B49" s="163"/>
      <c r="C49" s="438"/>
      <c r="D49" s="147" t="s">
        <v>217</v>
      </c>
      <c r="E49" s="166">
        <f t="shared" si="14"/>
        <v>0</v>
      </c>
      <c r="F49" s="167">
        <f t="shared" si="15"/>
        <v>0</v>
      </c>
      <c r="G49" s="168">
        <f t="shared" si="16"/>
        <v>0</v>
      </c>
      <c r="H49" s="147">
        <f t="shared" si="19"/>
        <v>5.9177900398128098E-2</v>
      </c>
      <c r="I49" s="164">
        <f t="shared" si="19"/>
        <v>0.4</v>
      </c>
      <c r="J49" s="164">
        <f t="shared" si="9"/>
        <v>0</v>
      </c>
      <c r="K49" s="147">
        <f t="shared" si="10"/>
        <v>0</v>
      </c>
      <c r="L49" s="147">
        <f t="shared" si="11"/>
        <v>0</v>
      </c>
      <c r="M49" s="147">
        <f t="shared" si="3"/>
        <v>9.2638795819795991E-2</v>
      </c>
      <c r="N49" s="147">
        <f t="shared" si="6"/>
        <v>9.8465794818168056E-2</v>
      </c>
      <c r="O49" s="164">
        <f t="shared" si="12"/>
        <v>0.10465931323236972</v>
      </c>
      <c r="P49" s="147">
        <f t="shared" si="1"/>
        <v>0</v>
      </c>
      <c r="Q49" s="147">
        <f t="shared" si="4"/>
        <v>0</v>
      </c>
      <c r="R49" s="147">
        <f t="shared" si="7"/>
        <v>0</v>
      </c>
      <c r="S49" s="156">
        <f t="shared" si="13"/>
        <v>0</v>
      </c>
      <c r="T49" s="156">
        <f t="shared" si="2"/>
        <v>0</v>
      </c>
      <c r="U49" s="165">
        <f t="shared" si="17"/>
        <v>0</v>
      </c>
      <c r="W49" s="154">
        <f t="shared" si="0"/>
        <v>0.94082209960187191</v>
      </c>
    </row>
    <row r="50" spans="1:23" x14ac:dyDescent="0.25">
      <c r="A50" s="163"/>
      <c r="B50" s="163"/>
      <c r="C50" s="438"/>
      <c r="D50" s="147" t="s">
        <v>218</v>
      </c>
      <c r="E50" s="166">
        <f t="shared" si="14"/>
        <v>0</v>
      </c>
      <c r="F50" s="167">
        <f t="shared" si="15"/>
        <v>0</v>
      </c>
      <c r="G50" s="168">
        <f t="shared" si="16"/>
        <v>0</v>
      </c>
      <c r="H50" s="147">
        <f t="shared" si="19"/>
        <v>5.9177900398128098E-2</v>
      </c>
      <c r="I50" s="164">
        <f t="shared" si="19"/>
        <v>0.4</v>
      </c>
      <c r="J50" s="164">
        <f t="shared" si="9"/>
        <v>0</v>
      </c>
      <c r="K50" s="147">
        <f t="shared" si="10"/>
        <v>0</v>
      </c>
      <c r="L50" s="147">
        <f t="shared" si="11"/>
        <v>0</v>
      </c>
      <c r="M50" s="147">
        <f t="shared" si="3"/>
        <v>8.7156626387769581E-2</v>
      </c>
      <c r="N50" s="147">
        <f t="shared" si="6"/>
        <v>9.2638795819795991E-2</v>
      </c>
      <c r="O50" s="164">
        <f t="shared" si="12"/>
        <v>9.8465794818168056E-2</v>
      </c>
      <c r="P50" s="147">
        <f t="shared" si="1"/>
        <v>0</v>
      </c>
      <c r="Q50" s="147">
        <f t="shared" si="4"/>
        <v>0</v>
      </c>
      <c r="R50" s="147">
        <f t="shared" si="7"/>
        <v>0</v>
      </c>
      <c r="S50" s="156">
        <f t="shared" si="13"/>
        <v>0</v>
      </c>
      <c r="T50" s="156">
        <f t="shared" si="2"/>
        <v>0</v>
      </c>
      <c r="U50" s="165">
        <f t="shared" si="17"/>
        <v>0</v>
      </c>
      <c r="W50" s="154">
        <f t="shared" si="0"/>
        <v>0.94082209960187191</v>
      </c>
    </row>
    <row r="51" spans="1:23" x14ac:dyDescent="0.25">
      <c r="A51" s="163"/>
      <c r="B51" s="163"/>
      <c r="C51" s="438"/>
      <c r="D51" s="147" t="s">
        <v>219</v>
      </c>
      <c r="E51" s="166">
        <f t="shared" si="14"/>
        <v>0</v>
      </c>
      <c r="F51" s="167">
        <f t="shared" si="15"/>
        <v>0</v>
      </c>
      <c r="G51" s="168">
        <f t="shared" si="16"/>
        <v>0</v>
      </c>
      <c r="H51" s="147">
        <f t="shared" si="19"/>
        <v>5.9177900398128098E-2</v>
      </c>
      <c r="I51" s="164">
        <f t="shared" si="19"/>
        <v>0.4</v>
      </c>
      <c r="J51" s="164">
        <f t="shared" si="9"/>
        <v>0</v>
      </c>
      <c r="K51" s="147">
        <f t="shared" si="10"/>
        <v>0</v>
      </c>
      <c r="L51" s="147">
        <f t="shared" si="11"/>
        <v>0</v>
      </c>
      <c r="M51" s="147">
        <f t="shared" si="3"/>
        <v>8.1998880232357296E-2</v>
      </c>
      <c r="N51" s="147">
        <f t="shared" si="6"/>
        <v>8.7156626387769581E-2</v>
      </c>
      <c r="O51" s="164">
        <f t="shared" si="12"/>
        <v>9.2638795819795991E-2</v>
      </c>
      <c r="P51" s="147">
        <f t="shared" si="1"/>
        <v>0</v>
      </c>
      <c r="Q51" s="147">
        <f t="shared" si="4"/>
        <v>0</v>
      </c>
      <c r="R51" s="147">
        <f t="shared" si="7"/>
        <v>0</v>
      </c>
      <c r="S51" s="156">
        <f t="shared" si="13"/>
        <v>0</v>
      </c>
      <c r="T51" s="156">
        <f t="shared" si="2"/>
        <v>0</v>
      </c>
      <c r="U51" s="165">
        <f t="shared" si="17"/>
        <v>0</v>
      </c>
      <c r="W51" s="154">
        <f t="shared" si="0"/>
        <v>0.94082209960187191</v>
      </c>
    </row>
    <row r="52" spans="1:23" x14ac:dyDescent="0.25">
      <c r="A52" s="163"/>
      <c r="B52" s="163"/>
      <c r="C52" s="438"/>
      <c r="D52" s="147" t="s">
        <v>220</v>
      </c>
      <c r="E52" s="166">
        <f t="shared" si="14"/>
        <v>0</v>
      </c>
      <c r="F52" s="167">
        <f t="shared" si="15"/>
        <v>0</v>
      </c>
      <c r="G52" s="168">
        <f t="shared" si="16"/>
        <v>0</v>
      </c>
      <c r="H52" s="147">
        <f t="shared" si="19"/>
        <v>5.9177900398128098E-2</v>
      </c>
      <c r="I52" s="164">
        <f t="shared" si="19"/>
        <v>0.4</v>
      </c>
      <c r="J52" s="164">
        <f t="shared" si="9"/>
        <v>0</v>
      </c>
      <c r="K52" s="147">
        <f t="shared" si="10"/>
        <v>0</v>
      </c>
      <c r="L52" s="147">
        <f t="shared" si="11"/>
        <v>0</v>
      </c>
      <c r="M52" s="147">
        <f t="shared" si="3"/>
        <v>7.7146358665208817E-2</v>
      </c>
      <c r="N52" s="147">
        <f t="shared" si="6"/>
        <v>8.1998880232357296E-2</v>
      </c>
      <c r="O52" s="164">
        <f t="shared" si="12"/>
        <v>8.7156626387769581E-2</v>
      </c>
      <c r="P52" s="147">
        <f t="shared" si="1"/>
        <v>0</v>
      </c>
      <c r="Q52" s="147">
        <f t="shared" si="4"/>
        <v>0</v>
      </c>
      <c r="R52" s="147">
        <f t="shared" si="7"/>
        <v>0</v>
      </c>
      <c r="S52" s="156">
        <f t="shared" si="13"/>
        <v>0</v>
      </c>
      <c r="T52" s="156">
        <f t="shared" si="2"/>
        <v>0</v>
      </c>
      <c r="U52" s="165">
        <f t="shared" si="17"/>
        <v>0</v>
      </c>
      <c r="W52" s="154">
        <f t="shared" si="0"/>
        <v>0.94082209960187191</v>
      </c>
    </row>
    <row r="53" spans="1:23" x14ac:dyDescent="0.25">
      <c r="A53" s="163"/>
      <c r="B53" s="163"/>
      <c r="C53" s="438"/>
      <c r="D53" s="147" t="s">
        <v>221</v>
      </c>
      <c r="E53" s="166">
        <f t="shared" si="14"/>
        <v>0</v>
      </c>
      <c r="F53" s="167">
        <f t="shared" si="15"/>
        <v>0</v>
      </c>
      <c r="G53" s="168">
        <f t="shared" si="16"/>
        <v>0</v>
      </c>
      <c r="H53" s="147">
        <f t="shared" si="19"/>
        <v>5.9177900398128098E-2</v>
      </c>
      <c r="I53" s="164">
        <f t="shared" si="19"/>
        <v>0.4</v>
      </c>
      <c r="J53" s="164">
        <f t="shared" si="9"/>
        <v>0</v>
      </c>
      <c r="K53" s="147">
        <f t="shared" si="10"/>
        <v>0</v>
      </c>
      <c r="L53" s="147">
        <f t="shared" si="11"/>
        <v>0</v>
      </c>
      <c r="M53" s="147">
        <f t="shared" si="3"/>
        <v>7.2580999136040825E-2</v>
      </c>
      <c r="N53" s="147">
        <f t="shared" si="6"/>
        <v>7.7146358665208817E-2</v>
      </c>
      <c r="O53" s="164">
        <f t="shared" si="12"/>
        <v>8.1998880232357296E-2</v>
      </c>
      <c r="P53" s="147">
        <f t="shared" si="1"/>
        <v>0</v>
      </c>
      <c r="Q53" s="147">
        <f t="shared" si="4"/>
        <v>0</v>
      </c>
      <c r="R53" s="147">
        <f t="shared" si="7"/>
        <v>0</v>
      </c>
      <c r="S53" s="156">
        <f t="shared" si="13"/>
        <v>0</v>
      </c>
      <c r="T53" s="156">
        <f t="shared" si="2"/>
        <v>0</v>
      </c>
      <c r="U53" s="165">
        <f t="shared" si="17"/>
        <v>0</v>
      </c>
      <c r="W53" s="154">
        <f t="shared" si="0"/>
        <v>0.94082209960187191</v>
      </c>
    </row>
    <row r="54" spans="1:23" x14ac:dyDescent="0.25">
      <c r="A54" s="163"/>
      <c r="B54" s="163"/>
      <c r="C54" s="438"/>
      <c r="D54" s="147" t="s">
        <v>222</v>
      </c>
      <c r="E54" s="166">
        <f t="shared" si="14"/>
        <v>0</v>
      </c>
      <c r="F54" s="167">
        <f t="shared" si="15"/>
        <v>0</v>
      </c>
      <c r="G54" s="168">
        <f t="shared" si="16"/>
        <v>0</v>
      </c>
      <c r="H54" s="147">
        <f t="shared" si="19"/>
        <v>5.9177900398128098E-2</v>
      </c>
      <c r="I54" s="164">
        <f t="shared" si="19"/>
        <v>0.4</v>
      </c>
      <c r="J54" s="164">
        <f t="shared" si="9"/>
        <v>0</v>
      </c>
      <c r="K54" s="147">
        <f t="shared" si="10"/>
        <v>0</v>
      </c>
      <c r="L54" s="147">
        <f t="shared" si="11"/>
        <v>0</v>
      </c>
      <c r="M54" s="147">
        <f t="shared" si="3"/>
        <v>6.8285807998371584E-2</v>
      </c>
      <c r="N54" s="147">
        <f t="shared" si="6"/>
        <v>7.2580999136040825E-2</v>
      </c>
      <c r="O54" s="164">
        <f t="shared" si="12"/>
        <v>7.7146358665208817E-2</v>
      </c>
      <c r="P54" s="147">
        <f t="shared" si="1"/>
        <v>0</v>
      </c>
      <c r="Q54" s="147">
        <f t="shared" si="4"/>
        <v>0</v>
      </c>
      <c r="R54" s="147">
        <f t="shared" si="7"/>
        <v>0</v>
      </c>
      <c r="S54" s="156">
        <f t="shared" si="13"/>
        <v>0</v>
      </c>
      <c r="T54" s="156">
        <f t="shared" si="2"/>
        <v>0</v>
      </c>
      <c r="U54" s="165">
        <f t="shared" si="17"/>
        <v>0</v>
      </c>
      <c r="W54" s="154">
        <f t="shared" si="0"/>
        <v>0.94082209960187191</v>
      </c>
    </row>
    <row r="55" spans="1:23" x14ac:dyDescent="0.25">
      <c r="A55" s="163"/>
      <c r="B55" s="163"/>
      <c r="C55" s="438"/>
      <c r="D55" s="147" t="s">
        <v>223</v>
      </c>
      <c r="E55" s="166">
        <f t="shared" si="14"/>
        <v>0</v>
      </c>
      <c r="F55" s="167">
        <f t="shared" si="15"/>
        <v>0</v>
      </c>
      <c r="G55" s="168">
        <f t="shared" si="16"/>
        <v>0</v>
      </c>
      <c r="H55" s="147">
        <f t="shared" si="19"/>
        <v>5.9177900398128098E-2</v>
      </c>
      <c r="I55" s="164">
        <f t="shared" si="19"/>
        <v>0.4</v>
      </c>
      <c r="J55" s="164">
        <f t="shared" si="9"/>
        <v>0</v>
      </c>
      <c r="K55" s="147">
        <f t="shared" si="10"/>
        <v>0</v>
      </c>
      <c r="L55" s="147">
        <f t="shared" si="11"/>
        <v>0</v>
      </c>
      <c r="M55" s="147">
        <f t="shared" si="3"/>
        <v>6.4244797254038255E-2</v>
      </c>
      <c r="N55" s="147">
        <f t="shared" si="6"/>
        <v>6.8285807998371584E-2</v>
      </c>
      <c r="O55" s="164">
        <f t="shared" si="12"/>
        <v>7.2580999136040825E-2</v>
      </c>
      <c r="P55" s="147">
        <f t="shared" si="1"/>
        <v>0</v>
      </c>
      <c r="Q55" s="147">
        <f t="shared" si="4"/>
        <v>0</v>
      </c>
      <c r="R55" s="147">
        <f t="shared" si="7"/>
        <v>0</v>
      </c>
      <c r="S55" s="156">
        <f t="shared" si="13"/>
        <v>0</v>
      </c>
      <c r="T55" s="156">
        <f t="shared" si="2"/>
        <v>0</v>
      </c>
      <c r="U55" s="165">
        <f t="shared" si="17"/>
        <v>0</v>
      </c>
      <c r="W55" s="154">
        <f t="shared" si="0"/>
        <v>0.94082209960187191</v>
      </c>
    </row>
    <row r="56" spans="1:23" x14ac:dyDescent="0.25">
      <c r="A56" s="163"/>
      <c r="B56" s="163"/>
      <c r="C56" s="438"/>
      <c r="D56" s="147" t="s">
        <v>224</v>
      </c>
      <c r="E56" s="166">
        <f t="shared" si="14"/>
        <v>0</v>
      </c>
      <c r="F56" s="167">
        <f t="shared" si="15"/>
        <v>0</v>
      </c>
      <c r="G56" s="168">
        <f t="shared" si="16"/>
        <v>0</v>
      </c>
      <c r="H56" s="147">
        <f t="shared" si="19"/>
        <v>5.9177900398128098E-2</v>
      </c>
      <c r="I56" s="164">
        <f t="shared" si="19"/>
        <v>0.4</v>
      </c>
      <c r="J56" s="164">
        <f t="shared" si="9"/>
        <v>0</v>
      </c>
      <c r="K56" s="147">
        <f t="shared" si="10"/>
        <v>0</v>
      </c>
      <c r="L56" s="147">
        <f t="shared" si="11"/>
        <v>0</v>
      </c>
      <c r="M56" s="147">
        <f t="shared" si="3"/>
        <v>6.0442925041040846E-2</v>
      </c>
      <c r="N56" s="147">
        <f t="shared" si="6"/>
        <v>6.4244797254038255E-2</v>
      </c>
      <c r="O56" s="164">
        <f t="shared" si="12"/>
        <v>6.8285807998371584E-2</v>
      </c>
      <c r="P56" s="147">
        <f t="shared" si="1"/>
        <v>0</v>
      </c>
      <c r="Q56" s="147">
        <f t="shared" si="4"/>
        <v>0</v>
      </c>
      <c r="R56" s="147">
        <f t="shared" si="7"/>
        <v>0</v>
      </c>
      <c r="S56" s="156">
        <f t="shared" si="13"/>
        <v>0</v>
      </c>
      <c r="T56" s="156">
        <f t="shared" si="2"/>
        <v>0</v>
      </c>
      <c r="U56" s="165">
        <f t="shared" si="17"/>
        <v>0</v>
      </c>
      <c r="W56" s="154">
        <f t="shared" si="0"/>
        <v>0.94082209960187191</v>
      </c>
    </row>
    <row r="57" spans="1:23" x14ac:dyDescent="0.25">
      <c r="A57" s="163"/>
      <c r="B57" s="163"/>
      <c r="C57" s="438"/>
      <c r="D57" s="147" t="s">
        <v>225</v>
      </c>
      <c r="E57" s="166">
        <f t="shared" si="14"/>
        <v>0</v>
      </c>
      <c r="F57" s="167">
        <f t="shared" si="15"/>
        <v>0</v>
      </c>
      <c r="G57" s="168">
        <f t="shared" si="16"/>
        <v>0</v>
      </c>
      <c r="H57" s="147">
        <f t="shared" si="19"/>
        <v>5.9177900398128098E-2</v>
      </c>
      <c r="I57" s="164">
        <f t="shared" si="19"/>
        <v>0.4</v>
      </c>
      <c r="J57" s="164">
        <f t="shared" si="9"/>
        <v>0</v>
      </c>
      <c r="K57" s="147">
        <f t="shared" si="10"/>
        <v>0</v>
      </c>
      <c r="L57" s="147">
        <f t="shared" si="11"/>
        <v>0</v>
      </c>
      <c r="M57" s="147">
        <f t="shared" si="3"/>
        <v>5.6866039643190605E-2</v>
      </c>
      <c r="N57" s="147">
        <f t="shared" si="6"/>
        <v>6.0442925041040846E-2</v>
      </c>
      <c r="O57" s="164">
        <f t="shared" si="12"/>
        <v>6.4244797254038255E-2</v>
      </c>
      <c r="P57" s="147">
        <f t="shared" si="1"/>
        <v>0</v>
      </c>
      <c r="Q57" s="147">
        <f t="shared" si="4"/>
        <v>0</v>
      </c>
      <c r="R57" s="147">
        <f t="shared" si="7"/>
        <v>0</v>
      </c>
      <c r="S57" s="156">
        <f t="shared" si="13"/>
        <v>0</v>
      </c>
      <c r="T57" s="156">
        <f t="shared" si="2"/>
        <v>0</v>
      </c>
      <c r="U57" s="165">
        <f t="shared" si="17"/>
        <v>0</v>
      </c>
      <c r="W57" s="154">
        <f t="shared" si="0"/>
        <v>0.94082209960187191</v>
      </c>
    </row>
    <row r="58" spans="1:23" x14ac:dyDescent="0.25">
      <c r="A58" s="163"/>
      <c r="B58" s="163"/>
      <c r="C58" s="438"/>
      <c r="D58" s="147" t="s">
        <v>226</v>
      </c>
      <c r="E58" s="166">
        <f t="shared" si="14"/>
        <v>0</v>
      </c>
      <c r="F58" s="167">
        <f t="shared" si="15"/>
        <v>0</v>
      </c>
      <c r="G58" s="168">
        <f t="shared" si="16"/>
        <v>0</v>
      </c>
      <c r="H58" s="147">
        <f t="shared" si="19"/>
        <v>5.9177900398128098E-2</v>
      </c>
      <c r="I58" s="164">
        <f t="shared" si="19"/>
        <v>0.4</v>
      </c>
      <c r="J58" s="164">
        <f t="shared" si="9"/>
        <v>0</v>
      </c>
      <c r="K58" s="147">
        <f t="shared" si="10"/>
        <v>0</v>
      </c>
      <c r="L58" s="147">
        <f t="shared" si="11"/>
        <v>0</v>
      </c>
      <c r="M58" s="147">
        <f t="shared" si="3"/>
        <v>5.3500826813149868E-2</v>
      </c>
      <c r="N58" s="147">
        <f t="shared" si="6"/>
        <v>5.6866039643190605E-2</v>
      </c>
      <c r="O58" s="164">
        <f t="shared" si="12"/>
        <v>6.0442925041040846E-2</v>
      </c>
      <c r="P58" s="147">
        <f t="shared" si="1"/>
        <v>0</v>
      </c>
      <c r="Q58" s="147">
        <f t="shared" si="4"/>
        <v>0</v>
      </c>
      <c r="R58" s="147">
        <f t="shared" si="7"/>
        <v>0</v>
      </c>
      <c r="S58" s="156">
        <f t="shared" si="13"/>
        <v>0</v>
      </c>
      <c r="T58" s="156">
        <f t="shared" si="2"/>
        <v>0</v>
      </c>
      <c r="U58" s="165">
        <f t="shared" si="17"/>
        <v>0</v>
      </c>
      <c r="W58" s="154">
        <f t="shared" si="0"/>
        <v>0.94082209960187191</v>
      </c>
    </row>
    <row r="59" spans="1:23" x14ac:dyDescent="0.25">
      <c r="A59" s="163"/>
      <c r="B59" s="163"/>
      <c r="C59" s="438"/>
      <c r="D59" s="147" t="s">
        <v>227</v>
      </c>
      <c r="E59" s="166">
        <f t="shared" si="14"/>
        <v>0</v>
      </c>
      <c r="F59" s="167">
        <f t="shared" si="15"/>
        <v>0</v>
      </c>
      <c r="G59" s="168">
        <f t="shared" si="16"/>
        <v>0</v>
      </c>
      <c r="H59" s="147">
        <f t="shared" si="19"/>
        <v>5.9177900398128098E-2</v>
      </c>
      <c r="I59" s="164">
        <f t="shared" si="19"/>
        <v>0.4</v>
      </c>
      <c r="J59" s="147">
        <f t="shared" si="9"/>
        <v>0</v>
      </c>
      <c r="K59" s="147">
        <f t="shared" si="10"/>
        <v>0</v>
      </c>
      <c r="L59" s="147">
        <f t="shared" si="11"/>
        <v>0</v>
      </c>
      <c r="M59" s="147">
        <f t="shared" si="3"/>
        <v>5.0334760212783783E-2</v>
      </c>
      <c r="N59" s="147">
        <f t="shared" si="6"/>
        <v>5.3500826813149868E-2</v>
      </c>
      <c r="O59" s="164">
        <f t="shared" si="12"/>
        <v>5.6866039643190605E-2</v>
      </c>
      <c r="P59" s="147">
        <f t="shared" si="1"/>
        <v>0</v>
      </c>
      <c r="Q59" s="147">
        <f t="shared" si="4"/>
        <v>0</v>
      </c>
      <c r="R59" s="147">
        <f t="shared" si="7"/>
        <v>0</v>
      </c>
      <c r="S59" s="156">
        <f t="shared" si="13"/>
        <v>0</v>
      </c>
      <c r="T59" s="156">
        <f t="shared" si="2"/>
        <v>0</v>
      </c>
      <c r="U59" s="165">
        <f t="shared" si="17"/>
        <v>0</v>
      </c>
      <c r="W59" s="154">
        <f t="shared" si="0"/>
        <v>0.94082209960187191</v>
      </c>
    </row>
    <row r="60" spans="1:23" x14ac:dyDescent="0.25">
      <c r="A60" s="163"/>
      <c r="B60" s="163"/>
      <c r="C60" s="438"/>
      <c r="D60" s="147" t="s">
        <v>228</v>
      </c>
      <c r="E60" s="166">
        <f t="shared" si="14"/>
        <v>0</v>
      </c>
      <c r="F60" s="167">
        <f t="shared" si="15"/>
        <v>0</v>
      </c>
      <c r="G60" s="168">
        <f t="shared" si="16"/>
        <v>0</v>
      </c>
      <c r="H60" s="147">
        <f t="shared" si="19"/>
        <v>5.9177900398128098E-2</v>
      </c>
      <c r="I60" s="164">
        <f t="shared" si="19"/>
        <v>0.4</v>
      </c>
      <c r="J60" s="147">
        <f t="shared" si="9"/>
        <v>0</v>
      </c>
      <c r="K60" s="147">
        <f t="shared" si="10"/>
        <v>0</v>
      </c>
      <c r="L60" s="147">
        <f t="shared" si="11"/>
        <v>0</v>
      </c>
      <c r="M60" s="147">
        <f t="shared" si="3"/>
        <v>4.7356054786348002E-2</v>
      </c>
      <c r="N60" s="147">
        <f t="shared" si="6"/>
        <v>5.0334760212783783E-2</v>
      </c>
      <c r="O60" s="164">
        <f t="shared" si="12"/>
        <v>5.3500826813149868E-2</v>
      </c>
      <c r="P60" s="147">
        <f t="shared" si="1"/>
        <v>0</v>
      </c>
      <c r="Q60" s="147">
        <f t="shared" si="4"/>
        <v>0</v>
      </c>
      <c r="R60" s="147">
        <f t="shared" si="7"/>
        <v>0</v>
      </c>
      <c r="S60" s="156">
        <f t="shared" si="13"/>
        <v>0</v>
      </c>
      <c r="T60" s="156">
        <f t="shared" si="2"/>
        <v>0</v>
      </c>
      <c r="U60" s="165">
        <f t="shared" si="17"/>
        <v>0</v>
      </c>
      <c r="W60" s="154">
        <f t="shared" si="0"/>
        <v>0.94082209960187191</v>
      </c>
    </row>
    <row r="61" spans="1:23" x14ac:dyDescent="0.25">
      <c r="A61" s="163"/>
      <c r="B61" s="163"/>
      <c r="C61" s="426"/>
      <c r="D61" s="157" t="s">
        <v>229</v>
      </c>
      <c r="E61" s="169">
        <f t="shared" si="14"/>
        <v>0</v>
      </c>
      <c r="F61" s="170">
        <f t="shared" si="15"/>
        <v>0</v>
      </c>
      <c r="G61" s="171">
        <f t="shared" si="16"/>
        <v>0</v>
      </c>
      <c r="H61" s="157">
        <f t="shared" si="19"/>
        <v>5.9177900398128098E-2</v>
      </c>
      <c r="I61" s="172">
        <f t="shared" si="19"/>
        <v>0.4</v>
      </c>
      <c r="J61" s="157">
        <f t="shared" si="9"/>
        <v>0</v>
      </c>
      <c r="K61" s="157">
        <f t="shared" si="10"/>
        <v>0</v>
      </c>
      <c r="L61" s="157">
        <f t="shared" si="11"/>
        <v>0</v>
      </c>
      <c r="M61" s="157">
        <f t="shared" si="3"/>
        <v>4.4553622892953205E-2</v>
      </c>
      <c r="N61" s="157">
        <f t="shared" si="6"/>
        <v>4.7356054786348002E-2</v>
      </c>
      <c r="O61" s="172">
        <f t="shared" si="12"/>
        <v>5.0334760212783783E-2</v>
      </c>
      <c r="P61" s="157">
        <f t="shared" si="1"/>
        <v>0</v>
      </c>
      <c r="Q61" s="157">
        <f t="shared" si="4"/>
        <v>0</v>
      </c>
      <c r="R61" s="157">
        <f t="shared" si="7"/>
        <v>0</v>
      </c>
      <c r="S61" s="173">
        <f t="shared" si="13"/>
        <v>0</v>
      </c>
      <c r="T61" s="173">
        <f t="shared" si="2"/>
        <v>0</v>
      </c>
      <c r="U61" s="174">
        <f t="shared" si="17"/>
        <v>0</v>
      </c>
      <c r="W61" s="182">
        <f t="shared" si="0"/>
        <v>0.94082209960187191</v>
      </c>
    </row>
    <row r="62" spans="1:23" x14ac:dyDescent="0.25">
      <c r="V62" s="114"/>
    </row>
    <row r="63" spans="1:23" x14ac:dyDescent="0.25">
      <c r="P63" s="138" t="s">
        <v>230</v>
      </c>
      <c r="Q63" s="138" t="s">
        <v>230</v>
      </c>
      <c r="R63" s="138" t="s">
        <v>230</v>
      </c>
      <c r="S63" s="183" t="s">
        <v>231</v>
      </c>
      <c r="T63" s="122" t="s">
        <v>231</v>
      </c>
      <c r="U63" s="122" t="s">
        <v>231</v>
      </c>
    </row>
    <row r="64" spans="1:23" x14ac:dyDescent="0.25">
      <c r="O64" s="184" t="s">
        <v>11</v>
      </c>
      <c r="P64" s="185">
        <f>S64/$E$9</f>
        <v>9.1242958335850374E-2</v>
      </c>
      <c r="Q64" s="186"/>
      <c r="R64" s="186"/>
      <c r="S64" s="187">
        <f>SUM(S10:S59)</f>
        <v>9.1242958335850375</v>
      </c>
      <c r="T64" s="114"/>
      <c r="U64" s="114"/>
      <c r="V64" s="145"/>
    </row>
    <row r="65" spans="15:21" x14ac:dyDescent="0.25">
      <c r="O65" s="184" t="s">
        <v>12</v>
      </c>
      <c r="P65" s="185"/>
      <c r="Q65" s="185">
        <f>T65/$E$9</f>
        <v>7.7715730800172064E-2</v>
      </c>
      <c r="R65" s="186"/>
      <c r="S65" s="145"/>
      <c r="T65" s="187">
        <f>SUM(T11:T59)</f>
        <v>7.7715730800172063</v>
      </c>
    </row>
    <row r="66" spans="15:21" x14ac:dyDescent="0.25">
      <c r="O66" s="188" t="s">
        <v>13</v>
      </c>
      <c r="P66" s="185"/>
      <c r="Q66" s="186"/>
      <c r="R66" s="185">
        <f>U66/$E$9</f>
        <v>6.3814509532723745E-2</v>
      </c>
      <c r="S66" s="145"/>
      <c r="T66" s="145"/>
      <c r="U66" s="187">
        <f>SUM(U12:U59)</f>
        <v>6.381450953272374</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6"/>
  <sheetViews>
    <sheetView zoomScale="70" zoomScaleNormal="70" workbookViewId="0"/>
  </sheetViews>
  <sheetFormatPr defaultColWidth="8.85546875" defaultRowHeight="15" x14ac:dyDescent="0.25"/>
  <cols>
    <col min="1" max="2" width="10.85546875" style="114" customWidth="1"/>
    <col min="3" max="3" width="21" style="114" customWidth="1"/>
    <col min="4" max="4" width="8.85546875" style="114"/>
    <col min="5" max="5" width="10.42578125" style="114" customWidth="1"/>
    <col min="6" max="6" width="12" style="114" bestFit="1" customWidth="1"/>
    <col min="7" max="7" width="10.42578125" style="114" customWidth="1"/>
    <col min="8" max="8" width="11.140625" style="114" bestFit="1" customWidth="1"/>
    <col min="9" max="9" width="12.5703125" style="114" bestFit="1" customWidth="1"/>
    <col min="10" max="12" width="14.140625" style="114" bestFit="1" customWidth="1"/>
    <col min="13" max="18" width="10.5703125" style="114" customWidth="1"/>
    <col min="19" max="19" width="9.5703125" style="114" customWidth="1"/>
    <col min="20" max="22" width="9.5703125" style="118" customWidth="1"/>
    <col min="23" max="25" width="9.7109375" style="114" customWidth="1"/>
    <col min="26" max="256" width="8.85546875" style="114"/>
    <col min="257" max="258" width="10.85546875" style="114" customWidth="1"/>
    <col min="259" max="259" width="21" style="114" customWidth="1"/>
    <col min="260" max="260" width="8.85546875" style="114"/>
    <col min="261" max="261" width="10.42578125" style="114" customWidth="1"/>
    <col min="262" max="262" width="12" style="114" bestFit="1" customWidth="1"/>
    <col min="263" max="263" width="10.42578125" style="114" customWidth="1"/>
    <col min="264" max="264" width="11.140625" style="114" bestFit="1" customWidth="1"/>
    <col min="265" max="265" width="12.5703125" style="114" bestFit="1" customWidth="1"/>
    <col min="266" max="268" width="14.140625" style="114" bestFit="1" customWidth="1"/>
    <col min="269" max="274" width="10.5703125" style="114" customWidth="1"/>
    <col min="275" max="278" width="9.5703125" style="114" customWidth="1"/>
    <col min="279" max="281" width="9.7109375" style="114" customWidth="1"/>
    <col min="282" max="512" width="8.85546875" style="114"/>
    <col min="513" max="514" width="10.85546875" style="114" customWidth="1"/>
    <col min="515" max="515" width="21" style="114" customWidth="1"/>
    <col min="516" max="516" width="8.85546875" style="114"/>
    <col min="517" max="517" width="10.42578125" style="114" customWidth="1"/>
    <col min="518" max="518" width="12" style="114" bestFit="1" customWidth="1"/>
    <col min="519" max="519" width="10.42578125" style="114" customWidth="1"/>
    <col min="520" max="520" width="11.140625" style="114" bestFit="1" customWidth="1"/>
    <col min="521" max="521" width="12.5703125" style="114" bestFit="1" customWidth="1"/>
    <col min="522" max="524" width="14.140625" style="114" bestFit="1" customWidth="1"/>
    <col min="525" max="530" width="10.5703125" style="114" customWidth="1"/>
    <col min="531" max="534" width="9.5703125" style="114" customWidth="1"/>
    <col min="535" max="537" width="9.7109375" style="114" customWidth="1"/>
    <col min="538" max="768" width="8.85546875" style="114"/>
    <col min="769" max="770" width="10.85546875" style="114" customWidth="1"/>
    <col min="771" max="771" width="21" style="114" customWidth="1"/>
    <col min="772" max="772" width="8.85546875" style="114"/>
    <col min="773" max="773" width="10.42578125" style="114" customWidth="1"/>
    <col min="774" max="774" width="12" style="114" bestFit="1" customWidth="1"/>
    <col min="775" max="775" width="10.42578125" style="114" customWidth="1"/>
    <col min="776" max="776" width="11.140625" style="114" bestFit="1" customWidth="1"/>
    <col min="777" max="777" width="12.5703125" style="114" bestFit="1" customWidth="1"/>
    <col min="778" max="780" width="14.140625" style="114" bestFit="1" customWidth="1"/>
    <col min="781" max="786" width="10.5703125" style="114" customWidth="1"/>
    <col min="787" max="790" width="9.5703125" style="114" customWidth="1"/>
    <col min="791" max="793" width="9.7109375" style="114" customWidth="1"/>
    <col min="794" max="1024" width="8.85546875" style="114"/>
    <col min="1025" max="1026" width="10.85546875" style="114" customWidth="1"/>
    <col min="1027" max="1027" width="21" style="114" customWidth="1"/>
    <col min="1028" max="1028" width="8.85546875" style="114"/>
    <col min="1029" max="1029" width="10.42578125" style="114" customWidth="1"/>
    <col min="1030" max="1030" width="12" style="114" bestFit="1" customWidth="1"/>
    <col min="1031" max="1031" width="10.42578125" style="114" customWidth="1"/>
    <col min="1032" max="1032" width="11.140625" style="114" bestFit="1" customWidth="1"/>
    <col min="1033" max="1033" width="12.5703125" style="114" bestFit="1" customWidth="1"/>
    <col min="1034" max="1036" width="14.140625" style="114" bestFit="1" customWidth="1"/>
    <col min="1037" max="1042" width="10.5703125" style="114" customWidth="1"/>
    <col min="1043" max="1046" width="9.5703125" style="114" customWidth="1"/>
    <col min="1047" max="1049" width="9.7109375" style="114" customWidth="1"/>
    <col min="1050" max="1280" width="8.85546875" style="114"/>
    <col min="1281" max="1282" width="10.85546875" style="114" customWidth="1"/>
    <col min="1283" max="1283" width="21" style="114" customWidth="1"/>
    <col min="1284" max="1284" width="8.85546875" style="114"/>
    <col min="1285" max="1285" width="10.42578125" style="114" customWidth="1"/>
    <col min="1286" max="1286" width="12" style="114" bestFit="1" customWidth="1"/>
    <col min="1287" max="1287" width="10.42578125" style="114" customWidth="1"/>
    <col min="1288" max="1288" width="11.140625" style="114" bestFit="1" customWidth="1"/>
    <col min="1289" max="1289" width="12.5703125" style="114" bestFit="1" customWidth="1"/>
    <col min="1290" max="1292" width="14.140625" style="114" bestFit="1" customWidth="1"/>
    <col min="1293" max="1298" width="10.5703125" style="114" customWidth="1"/>
    <col min="1299" max="1302" width="9.5703125" style="114" customWidth="1"/>
    <col min="1303" max="1305" width="9.7109375" style="114" customWidth="1"/>
    <col min="1306" max="1536" width="8.85546875" style="114"/>
    <col min="1537" max="1538" width="10.85546875" style="114" customWidth="1"/>
    <col min="1539" max="1539" width="21" style="114" customWidth="1"/>
    <col min="1540" max="1540" width="8.85546875" style="114"/>
    <col min="1541" max="1541" width="10.42578125" style="114" customWidth="1"/>
    <col min="1542" max="1542" width="12" style="114" bestFit="1" customWidth="1"/>
    <col min="1543" max="1543" width="10.42578125" style="114" customWidth="1"/>
    <col min="1544" max="1544" width="11.140625" style="114" bestFit="1" customWidth="1"/>
    <col min="1545" max="1545" width="12.5703125" style="114" bestFit="1" customWidth="1"/>
    <col min="1546" max="1548" width="14.140625" style="114" bestFit="1" customWidth="1"/>
    <col min="1549" max="1554" width="10.5703125" style="114" customWidth="1"/>
    <col min="1555" max="1558" width="9.5703125" style="114" customWidth="1"/>
    <col min="1559" max="1561" width="9.7109375" style="114" customWidth="1"/>
    <col min="1562" max="1792" width="8.85546875" style="114"/>
    <col min="1793" max="1794" width="10.85546875" style="114" customWidth="1"/>
    <col min="1795" max="1795" width="21" style="114" customWidth="1"/>
    <col min="1796" max="1796" width="8.85546875" style="114"/>
    <col min="1797" max="1797" width="10.42578125" style="114" customWidth="1"/>
    <col min="1798" max="1798" width="12" style="114" bestFit="1" customWidth="1"/>
    <col min="1799" max="1799" width="10.42578125" style="114" customWidth="1"/>
    <col min="1800" max="1800" width="11.140625" style="114" bestFit="1" customWidth="1"/>
    <col min="1801" max="1801" width="12.5703125" style="114" bestFit="1" customWidth="1"/>
    <col min="1802" max="1804" width="14.140625" style="114" bestFit="1" customWidth="1"/>
    <col min="1805" max="1810" width="10.5703125" style="114" customWidth="1"/>
    <col min="1811" max="1814" width="9.5703125" style="114" customWidth="1"/>
    <col min="1815" max="1817" width="9.7109375" style="114" customWidth="1"/>
    <col min="1818" max="2048" width="8.85546875" style="114"/>
    <col min="2049" max="2050" width="10.85546875" style="114" customWidth="1"/>
    <col min="2051" max="2051" width="21" style="114" customWidth="1"/>
    <col min="2052" max="2052" width="8.85546875" style="114"/>
    <col min="2053" max="2053" width="10.42578125" style="114" customWidth="1"/>
    <col min="2054" max="2054" width="12" style="114" bestFit="1" customWidth="1"/>
    <col min="2055" max="2055" width="10.42578125" style="114" customWidth="1"/>
    <col min="2056" max="2056" width="11.140625" style="114" bestFit="1" customWidth="1"/>
    <col min="2057" max="2057" width="12.5703125" style="114" bestFit="1" customWidth="1"/>
    <col min="2058" max="2060" width="14.140625" style="114" bestFit="1" customWidth="1"/>
    <col min="2061" max="2066" width="10.5703125" style="114" customWidth="1"/>
    <col min="2067" max="2070" width="9.5703125" style="114" customWidth="1"/>
    <col min="2071" max="2073" width="9.7109375" style="114" customWidth="1"/>
    <col min="2074" max="2304" width="8.85546875" style="114"/>
    <col min="2305" max="2306" width="10.85546875" style="114" customWidth="1"/>
    <col min="2307" max="2307" width="21" style="114" customWidth="1"/>
    <col min="2308" max="2308" width="8.85546875" style="114"/>
    <col min="2309" max="2309" width="10.42578125" style="114" customWidth="1"/>
    <col min="2310" max="2310" width="12" style="114" bestFit="1" customWidth="1"/>
    <col min="2311" max="2311" width="10.42578125" style="114" customWidth="1"/>
    <col min="2312" max="2312" width="11.140625" style="114" bestFit="1" customWidth="1"/>
    <col min="2313" max="2313" width="12.5703125" style="114" bestFit="1" customWidth="1"/>
    <col min="2314" max="2316" width="14.140625" style="114" bestFit="1" customWidth="1"/>
    <col min="2317" max="2322" width="10.5703125" style="114" customWidth="1"/>
    <col min="2323" max="2326" width="9.5703125" style="114" customWidth="1"/>
    <col min="2327" max="2329" width="9.7109375" style="114" customWidth="1"/>
    <col min="2330" max="2560" width="8.85546875" style="114"/>
    <col min="2561" max="2562" width="10.85546875" style="114" customWidth="1"/>
    <col min="2563" max="2563" width="21" style="114" customWidth="1"/>
    <col min="2564" max="2564" width="8.85546875" style="114"/>
    <col min="2565" max="2565" width="10.42578125" style="114" customWidth="1"/>
    <col min="2566" max="2566" width="12" style="114" bestFit="1" customWidth="1"/>
    <col min="2567" max="2567" width="10.42578125" style="114" customWidth="1"/>
    <col min="2568" max="2568" width="11.140625" style="114" bestFit="1" customWidth="1"/>
    <col min="2569" max="2569" width="12.5703125" style="114" bestFit="1" customWidth="1"/>
    <col min="2570" max="2572" width="14.140625" style="114" bestFit="1" customWidth="1"/>
    <col min="2573" max="2578" width="10.5703125" style="114" customWidth="1"/>
    <col min="2579" max="2582" width="9.5703125" style="114" customWidth="1"/>
    <col min="2583" max="2585" width="9.7109375" style="114" customWidth="1"/>
    <col min="2586" max="2816" width="8.85546875" style="114"/>
    <col min="2817" max="2818" width="10.85546875" style="114" customWidth="1"/>
    <col min="2819" max="2819" width="21" style="114" customWidth="1"/>
    <col min="2820" max="2820" width="8.85546875" style="114"/>
    <col min="2821" max="2821" width="10.42578125" style="114" customWidth="1"/>
    <col min="2822" max="2822" width="12" style="114" bestFit="1" customWidth="1"/>
    <col min="2823" max="2823" width="10.42578125" style="114" customWidth="1"/>
    <col min="2824" max="2824" width="11.140625" style="114" bestFit="1" customWidth="1"/>
    <col min="2825" max="2825" width="12.5703125" style="114" bestFit="1" customWidth="1"/>
    <col min="2826" max="2828" width="14.140625" style="114" bestFit="1" customWidth="1"/>
    <col min="2829" max="2834" width="10.5703125" style="114" customWidth="1"/>
    <col min="2835" max="2838" width="9.5703125" style="114" customWidth="1"/>
    <col min="2839" max="2841" width="9.7109375" style="114" customWidth="1"/>
    <col min="2842" max="3072" width="8.85546875" style="114"/>
    <col min="3073" max="3074" width="10.85546875" style="114" customWidth="1"/>
    <col min="3075" max="3075" width="21" style="114" customWidth="1"/>
    <col min="3076" max="3076" width="8.85546875" style="114"/>
    <col min="3077" max="3077" width="10.42578125" style="114" customWidth="1"/>
    <col min="3078" max="3078" width="12" style="114" bestFit="1" customWidth="1"/>
    <col min="3079" max="3079" width="10.42578125" style="114" customWidth="1"/>
    <col min="3080" max="3080" width="11.140625" style="114" bestFit="1" customWidth="1"/>
    <col min="3081" max="3081" width="12.5703125" style="114" bestFit="1" customWidth="1"/>
    <col min="3082" max="3084" width="14.140625" style="114" bestFit="1" customWidth="1"/>
    <col min="3085" max="3090" width="10.5703125" style="114" customWidth="1"/>
    <col min="3091" max="3094" width="9.5703125" style="114" customWidth="1"/>
    <col min="3095" max="3097" width="9.7109375" style="114" customWidth="1"/>
    <col min="3098" max="3328" width="8.85546875" style="114"/>
    <col min="3329" max="3330" width="10.85546875" style="114" customWidth="1"/>
    <col min="3331" max="3331" width="21" style="114" customWidth="1"/>
    <col min="3332" max="3332" width="8.85546875" style="114"/>
    <col min="3333" max="3333" width="10.42578125" style="114" customWidth="1"/>
    <col min="3334" max="3334" width="12" style="114" bestFit="1" customWidth="1"/>
    <col min="3335" max="3335" width="10.42578125" style="114" customWidth="1"/>
    <col min="3336" max="3336" width="11.140625" style="114" bestFit="1" customWidth="1"/>
    <col min="3337" max="3337" width="12.5703125" style="114" bestFit="1" customWidth="1"/>
    <col min="3338" max="3340" width="14.140625" style="114" bestFit="1" customWidth="1"/>
    <col min="3341" max="3346" width="10.5703125" style="114" customWidth="1"/>
    <col min="3347" max="3350" width="9.5703125" style="114" customWidth="1"/>
    <col min="3351" max="3353" width="9.7109375" style="114" customWidth="1"/>
    <col min="3354" max="3584" width="8.85546875" style="114"/>
    <col min="3585" max="3586" width="10.85546875" style="114" customWidth="1"/>
    <col min="3587" max="3587" width="21" style="114" customWidth="1"/>
    <col min="3588" max="3588" width="8.85546875" style="114"/>
    <col min="3589" max="3589" width="10.42578125" style="114" customWidth="1"/>
    <col min="3590" max="3590" width="12" style="114" bestFit="1" customWidth="1"/>
    <col min="3591" max="3591" width="10.42578125" style="114" customWidth="1"/>
    <col min="3592" max="3592" width="11.140625" style="114" bestFit="1" customWidth="1"/>
    <col min="3593" max="3593" width="12.5703125" style="114" bestFit="1" customWidth="1"/>
    <col min="3594" max="3596" width="14.140625" style="114" bestFit="1" customWidth="1"/>
    <col min="3597" max="3602" width="10.5703125" style="114" customWidth="1"/>
    <col min="3603" max="3606" width="9.5703125" style="114" customWidth="1"/>
    <col min="3607" max="3609" width="9.7109375" style="114" customWidth="1"/>
    <col min="3610" max="3840" width="8.85546875" style="114"/>
    <col min="3841" max="3842" width="10.85546875" style="114" customWidth="1"/>
    <col min="3843" max="3843" width="21" style="114" customWidth="1"/>
    <col min="3844" max="3844" width="8.85546875" style="114"/>
    <col min="3845" max="3845" width="10.42578125" style="114" customWidth="1"/>
    <col min="3846" max="3846" width="12" style="114" bestFit="1" customWidth="1"/>
    <col min="3847" max="3847" width="10.42578125" style="114" customWidth="1"/>
    <col min="3848" max="3848" width="11.140625" style="114" bestFit="1" customWidth="1"/>
    <col min="3849" max="3849" width="12.5703125" style="114" bestFit="1" customWidth="1"/>
    <col min="3850" max="3852" width="14.140625" style="114" bestFit="1" customWidth="1"/>
    <col min="3853" max="3858" width="10.5703125" style="114" customWidth="1"/>
    <col min="3859" max="3862" width="9.5703125" style="114" customWidth="1"/>
    <col min="3863" max="3865" width="9.7109375" style="114" customWidth="1"/>
    <col min="3866" max="4096" width="8.85546875" style="114"/>
    <col min="4097" max="4098" width="10.85546875" style="114" customWidth="1"/>
    <col min="4099" max="4099" width="21" style="114" customWidth="1"/>
    <col min="4100" max="4100" width="8.85546875" style="114"/>
    <col min="4101" max="4101" width="10.42578125" style="114" customWidth="1"/>
    <col min="4102" max="4102" width="12" style="114" bestFit="1" customWidth="1"/>
    <col min="4103" max="4103" width="10.42578125" style="114" customWidth="1"/>
    <col min="4104" max="4104" width="11.140625" style="114" bestFit="1" customWidth="1"/>
    <col min="4105" max="4105" width="12.5703125" style="114" bestFit="1" customWidth="1"/>
    <col min="4106" max="4108" width="14.140625" style="114" bestFit="1" customWidth="1"/>
    <col min="4109" max="4114" width="10.5703125" style="114" customWidth="1"/>
    <col min="4115" max="4118" width="9.5703125" style="114" customWidth="1"/>
    <col min="4119" max="4121" width="9.7109375" style="114" customWidth="1"/>
    <col min="4122" max="4352" width="8.85546875" style="114"/>
    <col min="4353" max="4354" width="10.85546875" style="114" customWidth="1"/>
    <col min="4355" max="4355" width="21" style="114" customWidth="1"/>
    <col min="4356" max="4356" width="8.85546875" style="114"/>
    <col min="4357" max="4357" width="10.42578125" style="114" customWidth="1"/>
    <col min="4358" max="4358" width="12" style="114" bestFit="1" customWidth="1"/>
    <col min="4359" max="4359" width="10.42578125" style="114" customWidth="1"/>
    <col min="4360" max="4360" width="11.140625" style="114" bestFit="1" customWidth="1"/>
    <col min="4361" max="4361" width="12.5703125" style="114" bestFit="1" customWidth="1"/>
    <col min="4362" max="4364" width="14.140625" style="114" bestFit="1" customWidth="1"/>
    <col min="4365" max="4370" width="10.5703125" style="114" customWidth="1"/>
    <col min="4371" max="4374" width="9.5703125" style="114" customWidth="1"/>
    <col min="4375" max="4377" width="9.7109375" style="114" customWidth="1"/>
    <col min="4378" max="4608" width="8.85546875" style="114"/>
    <col min="4609" max="4610" width="10.85546875" style="114" customWidth="1"/>
    <col min="4611" max="4611" width="21" style="114" customWidth="1"/>
    <col min="4612" max="4612" width="8.85546875" style="114"/>
    <col min="4613" max="4613" width="10.42578125" style="114" customWidth="1"/>
    <col min="4614" max="4614" width="12" style="114" bestFit="1" customWidth="1"/>
    <col min="4615" max="4615" width="10.42578125" style="114" customWidth="1"/>
    <col min="4616" max="4616" width="11.140625" style="114" bestFit="1" customWidth="1"/>
    <col min="4617" max="4617" width="12.5703125" style="114" bestFit="1" customWidth="1"/>
    <col min="4618" max="4620" width="14.140625" style="114" bestFit="1" customWidth="1"/>
    <col min="4621" max="4626" width="10.5703125" style="114" customWidth="1"/>
    <col min="4627" max="4630" width="9.5703125" style="114" customWidth="1"/>
    <col min="4631" max="4633" width="9.7109375" style="114" customWidth="1"/>
    <col min="4634" max="4864" width="8.85546875" style="114"/>
    <col min="4865" max="4866" width="10.85546875" style="114" customWidth="1"/>
    <col min="4867" max="4867" width="21" style="114" customWidth="1"/>
    <col min="4868" max="4868" width="8.85546875" style="114"/>
    <col min="4869" max="4869" width="10.42578125" style="114" customWidth="1"/>
    <col min="4870" max="4870" width="12" style="114" bestFit="1" customWidth="1"/>
    <col min="4871" max="4871" width="10.42578125" style="114" customWidth="1"/>
    <col min="4872" max="4872" width="11.140625" style="114" bestFit="1" customWidth="1"/>
    <col min="4873" max="4873" width="12.5703125" style="114" bestFit="1" customWidth="1"/>
    <col min="4874" max="4876" width="14.140625" style="114" bestFit="1" customWidth="1"/>
    <col min="4877" max="4882" width="10.5703125" style="114" customWidth="1"/>
    <col min="4883" max="4886" width="9.5703125" style="114" customWidth="1"/>
    <col min="4887" max="4889" width="9.7109375" style="114" customWidth="1"/>
    <col min="4890" max="5120" width="8.85546875" style="114"/>
    <col min="5121" max="5122" width="10.85546875" style="114" customWidth="1"/>
    <col min="5123" max="5123" width="21" style="114" customWidth="1"/>
    <col min="5124" max="5124" width="8.85546875" style="114"/>
    <col min="5125" max="5125" width="10.42578125" style="114" customWidth="1"/>
    <col min="5126" max="5126" width="12" style="114" bestFit="1" customWidth="1"/>
    <col min="5127" max="5127" width="10.42578125" style="114" customWidth="1"/>
    <col min="5128" max="5128" width="11.140625" style="114" bestFit="1" customWidth="1"/>
    <col min="5129" max="5129" width="12.5703125" style="114" bestFit="1" customWidth="1"/>
    <col min="5130" max="5132" width="14.140625" style="114" bestFit="1" customWidth="1"/>
    <col min="5133" max="5138" width="10.5703125" style="114" customWidth="1"/>
    <col min="5139" max="5142" width="9.5703125" style="114" customWidth="1"/>
    <col min="5143" max="5145" width="9.7109375" style="114" customWidth="1"/>
    <col min="5146" max="5376" width="8.85546875" style="114"/>
    <col min="5377" max="5378" width="10.85546875" style="114" customWidth="1"/>
    <col min="5379" max="5379" width="21" style="114" customWidth="1"/>
    <col min="5380" max="5380" width="8.85546875" style="114"/>
    <col min="5381" max="5381" width="10.42578125" style="114" customWidth="1"/>
    <col min="5382" max="5382" width="12" style="114" bestFit="1" customWidth="1"/>
    <col min="5383" max="5383" width="10.42578125" style="114" customWidth="1"/>
    <col min="5384" max="5384" width="11.140625" style="114" bestFit="1" customWidth="1"/>
    <col min="5385" max="5385" width="12.5703125" style="114" bestFit="1" customWidth="1"/>
    <col min="5386" max="5388" width="14.140625" style="114" bestFit="1" customWidth="1"/>
    <col min="5389" max="5394" width="10.5703125" style="114" customWidth="1"/>
    <col min="5395" max="5398" width="9.5703125" style="114" customWidth="1"/>
    <col min="5399" max="5401" width="9.7109375" style="114" customWidth="1"/>
    <col min="5402" max="5632" width="8.85546875" style="114"/>
    <col min="5633" max="5634" width="10.85546875" style="114" customWidth="1"/>
    <col min="5635" max="5635" width="21" style="114" customWidth="1"/>
    <col min="5636" max="5636" width="8.85546875" style="114"/>
    <col min="5637" max="5637" width="10.42578125" style="114" customWidth="1"/>
    <col min="5638" max="5638" width="12" style="114" bestFit="1" customWidth="1"/>
    <col min="5639" max="5639" width="10.42578125" style="114" customWidth="1"/>
    <col min="5640" max="5640" width="11.140625" style="114" bestFit="1" customWidth="1"/>
    <col min="5641" max="5641" width="12.5703125" style="114" bestFit="1" customWidth="1"/>
    <col min="5642" max="5644" width="14.140625" style="114" bestFit="1" customWidth="1"/>
    <col min="5645" max="5650" width="10.5703125" style="114" customWidth="1"/>
    <col min="5651" max="5654" width="9.5703125" style="114" customWidth="1"/>
    <col min="5655" max="5657" width="9.7109375" style="114" customWidth="1"/>
    <col min="5658" max="5888" width="8.85546875" style="114"/>
    <col min="5889" max="5890" width="10.85546875" style="114" customWidth="1"/>
    <col min="5891" max="5891" width="21" style="114" customWidth="1"/>
    <col min="5892" max="5892" width="8.85546875" style="114"/>
    <col min="5893" max="5893" width="10.42578125" style="114" customWidth="1"/>
    <col min="5894" max="5894" width="12" style="114" bestFit="1" customWidth="1"/>
    <col min="5895" max="5895" width="10.42578125" style="114" customWidth="1"/>
    <col min="5896" max="5896" width="11.140625" style="114" bestFit="1" customWidth="1"/>
    <col min="5897" max="5897" width="12.5703125" style="114" bestFit="1" customWidth="1"/>
    <col min="5898" max="5900" width="14.140625" style="114" bestFit="1" customWidth="1"/>
    <col min="5901" max="5906" width="10.5703125" style="114" customWidth="1"/>
    <col min="5907" max="5910" width="9.5703125" style="114" customWidth="1"/>
    <col min="5911" max="5913" width="9.7109375" style="114" customWidth="1"/>
    <col min="5914" max="6144" width="8.85546875" style="114"/>
    <col min="6145" max="6146" width="10.85546875" style="114" customWidth="1"/>
    <col min="6147" max="6147" width="21" style="114" customWidth="1"/>
    <col min="6148" max="6148" width="8.85546875" style="114"/>
    <col min="6149" max="6149" width="10.42578125" style="114" customWidth="1"/>
    <col min="6150" max="6150" width="12" style="114" bestFit="1" customWidth="1"/>
    <col min="6151" max="6151" width="10.42578125" style="114" customWidth="1"/>
    <col min="6152" max="6152" width="11.140625" style="114" bestFit="1" customWidth="1"/>
    <col min="6153" max="6153" width="12.5703125" style="114" bestFit="1" customWidth="1"/>
    <col min="6154" max="6156" width="14.140625" style="114" bestFit="1" customWidth="1"/>
    <col min="6157" max="6162" width="10.5703125" style="114" customWidth="1"/>
    <col min="6163" max="6166" width="9.5703125" style="114" customWidth="1"/>
    <col min="6167" max="6169" width="9.7109375" style="114" customWidth="1"/>
    <col min="6170" max="6400" width="8.85546875" style="114"/>
    <col min="6401" max="6402" width="10.85546875" style="114" customWidth="1"/>
    <col min="6403" max="6403" width="21" style="114" customWidth="1"/>
    <col min="6404" max="6404" width="8.85546875" style="114"/>
    <col min="6405" max="6405" width="10.42578125" style="114" customWidth="1"/>
    <col min="6406" max="6406" width="12" style="114" bestFit="1" customWidth="1"/>
    <col min="6407" max="6407" width="10.42578125" style="114" customWidth="1"/>
    <col min="6408" max="6408" width="11.140625" style="114" bestFit="1" customWidth="1"/>
    <col min="6409" max="6409" width="12.5703125" style="114" bestFit="1" customWidth="1"/>
    <col min="6410" max="6412" width="14.140625" style="114" bestFit="1" customWidth="1"/>
    <col min="6413" max="6418" width="10.5703125" style="114" customWidth="1"/>
    <col min="6419" max="6422" width="9.5703125" style="114" customWidth="1"/>
    <col min="6423" max="6425" width="9.7109375" style="114" customWidth="1"/>
    <col min="6426" max="6656" width="8.85546875" style="114"/>
    <col min="6657" max="6658" width="10.85546875" style="114" customWidth="1"/>
    <col min="6659" max="6659" width="21" style="114" customWidth="1"/>
    <col min="6660" max="6660" width="8.85546875" style="114"/>
    <col min="6661" max="6661" width="10.42578125" style="114" customWidth="1"/>
    <col min="6662" max="6662" width="12" style="114" bestFit="1" customWidth="1"/>
    <col min="6663" max="6663" width="10.42578125" style="114" customWidth="1"/>
    <col min="6664" max="6664" width="11.140625" style="114" bestFit="1" customWidth="1"/>
    <col min="6665" max="6665" width="12.5703125" style="114" bestFit="1" customWidth="1"/>
    <col min="6666" max="6668" width="14.140625" style="114" bestFit="1" customWidth="1"/>
    <col min="6669" max="6674" width="10.5703125" style="114" customWidth="1"/>
    <col min="6675" max="6678" width="9.5703125" style="114" customWidth="1"/>
    <col min="6679" max="6681" width="9.7109375" style="114" customWidth="1"/>
    <col min="6682" max="6912" width="8.85546875" style="114"/>
    <col min="6913" max="6914" width="10.85546875" style="114" customWidth="1"/>
    <col min="6915" max="6915" width="21" style="114" customWidth="1"/>
    <col min="6916" max="6916" width="8.85546875" style="114"/>
    <col min="6917" max="6917" width="10.42578125" style="114" customWidth="1"/>
    <col min="6918" max="6918" width="12" style="114" bestFit="1" customWidth="1"/>
    <col min="6919" max="6919" width="10.42578125" style="114" customWidth="1"/>
    <col min="6920" max="6920" width="11.140625" style="114" bestFit="1" customWidth="1"/>
    <col min="6921" max="6921" width="12.5703125" style="114" bestFit="1" customWidth="1"/>
    <col min="6922" max="6924" width="14.140625" style="114" bestFit="1" customWidth="1"/>
    <col min="6925" max="6930" width="10.5703125" style="114" customWidth="1"/>
    <col min="6931" max="6934" width="9.5703125" style="114" customWidth="1"/>
    <col min="6935" max="6937" width="9.7109375" style="114" customWidth="1"/>
    <col min="6938" max="7168" width="8.85546875" style="114"/>
    <col min="7169" max="7170" width="10.85546875" style="114" customWidth="1"/>
    <col min="7171" max="7171" width="21" style="114" customWidth="1"/>
    <col min="7172" max="7172" width="8.85546875" style="114"/>
    <col min="7173" max="7173" width="10.42578125" style="114" customWidth="1"/>
    <col min="7174" max="7174" width="12" style="114" bestFit="1" customWidth="1"/>
    <col min="7175" max="7175" width="10.42578125" style="114" customWidth="1"/>
    <col min="7176" max="7176" width="11.140625" style="114" bestFit="1" customWidth="1"/>
    <col min="7177" max="7177" width="12.5703125" style="114" bestFit="1" customWidth="1"/>
    <col min="7178" max="7180" width="14.140625" style="114" bestFit="1" customWidth="1"/>
    <col min="7181" max="7186" width="10.5703125" style="114" customWidth="1"/>
    <col min="7187" max="7190" width="9.5703125" style="114" customWidth="1"/>
    <col min="7191" max="7193" width="9.7109375" style="114" customWidth="1"/>
    <col min="7194" max="7424" width="8.85546875" style="114"/>
    <col min="7425" max="7426" width="10.85546875" style="114" customWidth="1"/>
    <col min="7427" max="7427" width="21" style="114" customWidth="1"/>
    <col min="7428" max="7428" width="8.85546875" style="114"/>
    <col min="7429" max="7429" width="10.42578125" style="114" customWidth="1"/>
    <col min="7430" max="7430" width="12" style="114" bestFit="1" customWidth="1"/>
    <col min="7431" max="7431" width="10.42578125" style="114" customWidth="1"/>
    <col min="7432" max="7432" width="11.140625" style="114" bestFit="1" customWidth="1"/>
    <col min="7433" max="7433" width="12.5703125" style="114" bestFit="1" customWidth="1"/>
    <col min="7434" max="7436" width="14.140625" style="114" bestFit="1" customWidth="1"/>
    <col min="7437" max="7442" width="10.5703125" style="114" customWidth="1"/>
    <col min="7443" max="7446" width="9.5703125" style="114" customWidth="1"/>
    <col min="7447" max="7449" width="9.7109375" style="114" customWidth="1"/>
    <col min="7450" max="7680" width="8.85546875" style="114"/>
    <col min="7681" max="7682" width="10.85546875" style="114" customWidth="1"/>
    <col min="7683" max="7683" width="21" style="114" customWidth="1"/>
    <col min="7684" max="7684" width="8.85546875" style="114"/>
    <col min="7685" max="7685" width="10.42578125" style="114" customWidth="1"/>
    <col min="7686" max="7686" width="12" style="114" bestFit="1" customWidth="1"/>
    <col min="7687" max="7687" width="10.42578125" style="114" customWidth="1"/>
    <col min="7688" max="7688" width="11.140625" style="114" bestFit="1" customWidth="1"/>
    <col min="7689" max="7689" width="12.5703125" style="114" bestFit="1" customWidth="1"/>
    <col min="7690" max="7692" width="14.140625" style="114" bestFit="1" customWidth="1"/>
    <col min="7693" max="7698" width="10.5703125" style="114" customWidth="1"/>
    <col min="7699" max="7702" width="9.5703125" style="114" customWidth="1"/>
    <col min="7703" max="7705" width="9.7109375" style="114" customWidth="1"/>
    <col min="7706" max="7936" width="8.85546875" style="114"/>
    <col min="7937" max="7938" width="10.85546875" style="114" customWidth="1"/>
    <col min="7939" max="7939" width="21" style="114" customWidth="1"/>
    <col min="7940" max="7940" width="8.85546875" style="114"/>
    <col min="7941" max="7941" width="10.42578125" style="114" customWidth="1"/>
    <col min="7942" max="7942" width="12" style="114" bestFit="1" customWidth="1"/>
    <col min="7943" max="7943" width="10.42578125" style="114" customWidth="1"/>
    <col min="7944" max="7944" width="11.140625" style="114" bestFit="1" customWidth="1"/>
    <col min="7945" max="7945" width="12.5703125" style="114" bestFit="1" customWidth="1"/>
    <col min="7946" max="7948" width="14.140625" style="114" bestFit="1" customWidth="1"/>
    <col min="7949" max="7954" width="10.5703125" style="114" customWidth="1"/>
    <col min="7955" max="7958" width="9.5703125" style="114" customWidth="1"/>
    <col min="7959" max="7961" width="9.7109375" style="114" customWidth="1"/>
    <col min="7962" max="8192" width="8.85546875" style="114"/>
    <col min="8193" max="8194" width="10.85546875" style="114" customWidth="1"/>
    <col min="8195" max="8195" width="21" style="114" customWidth="1"/>
    <col min="8196" max="8196" width="8.85546875" style="114"/>
    <col min="8197" max="8197" width="10.42578125" style="114" customWidth="1"/>
    <col min="8198" max="8198" width="12" style="114" bestFit="1" customWidth="1"/>
    <col min="8199" max="8199" width="10.42578125" style="114" customWidth="1"/>
    <col min="8200" max="8200" width="11.140625" style="114" bestFit="1" customWidth="1"/>
    <col min="8201" max="8201" width="12.5703125" style="114" bestFit="1" customWidth="1"/>
    <col min="8202" max="8204" width="14.140625" style="114" bestFit="1" customWidth="1"/>
    <col min="8205" max="8210" width="10.5703125" style="114" customWidth="1"/>
    <col min="8211" max="8214" width="9.5703125" style="114" customWidth="1"/>
    <col min="8215" max="8217" width="9.7109375" style="114" customWidth="1"/>
    <col min="8218" max="8448" width="8.85546875" style="114"/>
    <col min="8449" max="8450" width="10.85546875" style="114" customWidth="1"/>
    <col min="8451" max="8451" width="21" style="114" customWidth="1"/>
    <col min="8452" max="8452" width="8.85546875" style="114"/>
    <col min="8453" max="8453" width="10.42578125" style="114" customWidth="1"/>
    <col min="8454" max="8454" width="12" style="114" bestFit="1" customWidth="1"/>
    <col min="8455" max="8455" width="10.42578125" style="114" customWidth="1"/>
    <col min="8456" max="8456" width="11.140625" style="114" bestFit="1" customWidth="1"/>
    <col min="8457" max="8457" width="12.5703125" style="114" bestFit="1" customWidth="1"/>
    <col min="8458" max="8460" width="14.140625" style="114" bestFit="1" customWidth="1"/>
    <col min="8461" max="8466" width="10.5703125" style="114" customWidth="1"/>
    <col min="8467" max="8470" width="9.5703125" style="114" customWidth="1"/>
    <col min="8471" max="8473" width="9.7109375" style="114" customWidth="1"/>
    <col min="8474" max="8704" width="8.85546875" style="114"/>
    <col min="8705" max="8706" width="10.85546875" style="114" customWidth="1"/>
    <col min="8707" max="8707" width="21" style="114" customWidth="1"/>
    <col min="8708" max="8708" width="8.85546875" style="114"/>
    <col min="8709" max="8709" width="10.42578125" style="114" customWidth="1"/>
    <col min="8710" max="8710" width="12" style="114" bestFit="1" customWidth="1"/>
    <col min="8711" max="8711" width="10.42578125" style="114" customWidth="1"/>
    <col min="8712" max="8712" width="11.140625" style="114" bestFit="1" customWidth="1"/>
    <col min="8713" max="8713" width="12.5703125" style="114" bestFit="1" customWidth="1"/>
    <col min="8714" max="8716" width="14.140625" style="114" bestFit="1" customWidth="1"/>
    <col min="8717" max="8722" width="10.5703125" style="114" customWidth="1"/>
    <col min="8723" max="8726" width="9.5703125" style="114" customWidth="1"/>
    <col min="8727" max="8729" width="9.7109375" style="114" customWidth="1"/>
    <col min="8730" max="8960" width="8.85546875" style="114"/>
    <col min="8961" max="8962" width="10.85546875" style="114" customWidth="1"/>
    <col min="8963" max="8963" width="21" style="114" customWidth="1"/>
    <col min="8964" max="8964" width="8.85546875" style="114"/>
    <col min="8965" max="8965" width="10.42578125" style="114" customWidth="1"/>
    <col min="8966" max="8966" width="12" style="114" bestFit="1" customWidth="1"/>
    <col min="8967" max="8967" width="10.42578125" style="114" customWidth="1"/>
    <col min="8968" max="8968" width="11.140625" style="114" bestFit="1" customWidth="1"/>
    <col min="8969" max="8969" width="12.5703125" style="114" bestFit="1" customWidth="1"/>
    <col min="8970" max="8972" width="14.140625" style="114" bestFit="1" customWidth="1"/>
    <col min="8973" max="8978" width="10.5703125" style="114" customWidth="1"/>
    <col min="8979" max="8982" width="9.5703125" style="114" customWidth="1"/>
    <col min="8983" max="8985" width="9.7109375" style="114" customWidth="1"/>
    <col min="8986" max="9216" width="8.85546875" style="114"/>
    <col min="9217" max="9218" width="10.85546875" style="114" customWidth="1"/>
    <col min="9219" max="9219" width="21" style="114" customWidth="1"/>
    <col min="9220" max="9220" width="8.85546875" style="114"/>
    <col min="9221" max="9221" width="10.42578125" style="114" customWidth="1"/>
    <col min="9222" max="9222" width="12" style="114" bestFit="1" customWidth="1"/>
    <col min="9223" max="9223" width="10.42578125" style="114" customWidth="1"/>
    <col min="9224" max="9224" width="11.140625" style="114" bestFit="1" customWidth="1"/>
    <col min="9225" max="9225" width="12.5703125" style="114" bestFit="1" customWidth="1"/>
    <col min="9226" max="9228" width="14.140625" style="114" bestFit="1" customWidth="1"/>
    <col min="9229" max="9234" width="10.5703125" style="114" customWidth="1"/>
    <col min="9235" max="9238" width="9.5703125" style="114" customWidth="1"/>
    <col min="9239" max="9241" width="9.7109375" style="114" customWidth="1"/>
    <col min="9242" max="9472" width="8.85546875" style="114"/>
    <col min="9473" max="9474" width="10.85546875" style="114" customWidth="1"/>
    <col min="9475" max="9475" width="21" style="114" customWidth="1"/>
    <col min="9476" max="9476" width="8.85546875" style="114"/>
    <col min="9477" max="9477" width="10.42578125" style="114" customWidth="1"/>
    <col min="9478" max="9478" width="12" style="114" bestFit="1" customWidth="1"/>
    <col min="9479" max="9479" width="10.42578125" style="114" customWidth="1"/>
    <col min="9480" max="9480" width="11.140625" style="114" bestFit="1" customWidth="1"/>
    <col min="9481" max="9481" width="12.5703125" style="114" bestFit="1" customWidth="1"/>
    <col min="9482" max="9484" width="14.140625" style="114" bestFit="1" customWidth="1"/>
    <col min="9485" max="9490" width="10.5703125" style="114" customWidth="1"/>
    <col min="9491" max="9494" width="9.5703125" style="114" customWidth="1"/>
    <col min="9495" max="9497" width="9.7109375" style="114" customWidth="1"/>
    <col min="9498" max="9728" width="8.85546875" style="114"/>
    <col min="9729" max="9730" width="10.85546875" style="114" customWidth="1"/>
    <col min="9731" max="9731" width="21" style="114" customWidth="1"/>
    <col min="9732" max="9732" width="8.85546875" style="114"/>
    <col min="9733" max="9733" width="10.42578125" style="114" customWidth="1"/>
    <col min="9734" max="9734" width="12" style="114" bestFit="1" customWidth="1"/>
    <col min="9735" max="9735" width="10.42578125" style="114" customWidth="1"/>
    <col min="9736" max="9736" width="11.140625" style="114" bestFit="1" customWidth="1"/>
    <col min="9737" max="9737" width="12.5703125" style="114" bestFit="1" customWidth="1"/>
    <col min="9738" max="9740" width="14.140625" style="114" bestFit="1" customWidth="1"/>
    <col min="9741" max="9746" width="10.5703125" style="114" customWidth="1"/>
    <col min="9747" max="9750" width="9.5703125" style="114" customWidth="1"/>
    <col min="9751" max="9753" width="9.7109375" style="114" customWidth="1"/>
    <col min="9754" max="9984" width="8.85546875" style="114"/>
    <col min="9985" max="9986" width="10.85546875" style="114" customWidth="1"/>
    <col min="9987" max="9987" width="21" style="114" customWidth="1"/>
    <col min="9988" max="9988" width="8.85546875" style="114"/>
    <col min="9989" max="9989" width="10.42578125" style="114" customWidth="1"/>
    <col min="9990" max="9990" width="12" style="114" bestFit="1" customWidth="1"/>
    <col min="9991" max="9991" width="10.42578125" style="114" customWidth="1"/>
    <col min="9992" max="9992" width="11.140625" style="114" bestFit="1" customWidth="1"/>
    <col min="9993" max="9993" width="12.5703125" style="114" bestFit="1" customWidth="1"/>
    <col min="9994" max="9996" width="14.140625" style="114" bestFit="1" customWidth="1"/>
    <col min="9997" max="10002" width="10.5703125" style="114" customWidth="1"/>
    <col min="10003" max="10006" width="9.5703125" style="114" customWidth="1"/>
    <col min="10007" max="10009" width="9.7109375" style="114" customWidth="1"/>
    <col min="10010" max="10240" width="8.85546875" style="114"/>
    <col min="10241" max="10242" width="10.85546875" style="114" customWidth="1"/>
    <col min="10243" max="10243" width="21" style="114" customWidth="1"/>
    <col min="10244" max="10244" width="8.85546875" style="114"/>
    <col min="10245" max="10245" width="10.42578125" style="114" customWidth="1"/>
    <col min="10246" max="10246" width="12" style="114" bestFit="1" customWidth="1"/>
    <col min="10247" max="10247" width="10.42578125" style="114" customWidth="1"/>
    <col min="10248" max="10248" width="11.140625" style="114" bestFit="1" customWidth="1"/>
    <col min="10249" max="10249" width="12.5703125" style="114" bestFit="1" customWidth="1"/>
    <col min="10250" max="10252" width="14.140625" style="114" bestFit="1" customWidth="1"/>
    <col min="10253" max="10258" width="10.5703125" style="114" customWidth="1"/>
    <col min="10259" max="10262" width="9.5703125" style="114" customWidth="1"/>
    <col min="10263" max="10265" width="9.7109375" style="114" customWidth="1"/>
    <col min="10266" max="10496" width="8.85546875" style="114"/>
    <col min="10497" max="10498" width="10.85546875" style="114" customWidth="1"/>
    <col min="10499" max="10499" width="21" style="114" customWidth="1"/>
    <col min="10500" max="10500" width="8.85546875" style="114"/>
    <col min="10501" max="10501" width="10.42578125" style="114" customWidth="1"/>
    <col min="10502" max="10502" width="12" style="114" bestFit="1" customWidth="1"/>
    <col min="10503" max="10503" width="10.42578125" style="114" customWidth="1"/>
    <col min="10504" max="10504" width="11.140625" style="114" bestFit="1" customWidth="1"/>
    <col min="10505" max="10505" width="12.5703125" style="114" bestFit="1" customWidth="1"/>
    <col min="10506" max="10508" width="14.140625" style="114" bestFit="1" customWidth="1"/>
    <col min="10509" max="10514" width="10.5703125" style="114" customWidth="1"/>
    <col min="10515" max="10518" width="9.5703125" style="114" customWidth="1"/>
    <col min="10519" max="10521" width="9.7109375" style="114" customWidth="1"/>
    <col min="10522" max="10752" width="8.85546875" style="114"/>
    <col min="10753" max="10754" width="10.85546875" style="114" customWidth="1"/>
    <col min="10755" max="10755" width="21" style="114" customWidth="1"/>
    <col min="10756" max="10756" width="8.85546875" style="114"/>
    <col min="10757" max="10757" width="10.42578125" style="114" customWidth="1"/>
    <col min="10758" max="10758" width="12" style="114" bestFit="1" customWidth="1"/>
    <col min="10759" max="10759" width="10.42578125" style="114" customWidth="1"/>
    <col min="10760" max="10760" width="11.140625" style="114" bestFit="1" customWidth="1"/>
    <col min="10761" max="10761" width="12.5703125" style="114" bestFit="1" customWidth="1"/>
    <col min="10762" max="10764" width="14.140625" style="114" bestFit="1" customWidth="1"/>
    <col min="10765" max="10770" width="10.5703125" style="114" customWidth="1"/>
    <col min="10771" max="10774" width="9.5703125" style="114" customWidth="1"/>
    <col min="10775" max="10777" width="9.7109375" style="114" customWidth="1"/>
    <col min="10778" max="11008" width="8.85546875" style="114"/>
    <col min="11009" max="11010" width="10.85546875" style="114" customWidth="1"/>
    <col min="11011" max="11011" width="21" style="114" customWidth="1"/>
    <col min="11012" max="11012" width="8.85546875" style="114"/>
    <col min="11013" max="11013" width="10.42578125" style="114" customWidth="1"/>
    <col min="11014" max="11014" width="12" style="114" bestFit="1" customWidth="1"/>
    <col min="11015" max="11015" width="10.42578125" style="114" customWidth="1"/>
    <col min="11016" max="11016" width="11.140625" style="114" bestFit="1" customWidth="1"/>
    <col min="11017" max="11017" width="12.5703125" style="114" bestFit="1" customWidth="1"/>
    <col min="11018" max="11020" width="14.140625" style="114" bestFit="1" customWidth="1"/>
    <col min="11021" max="11026" width="10.5703125" style="114" customWidth="1"/>
    <col min="11027" max="11030" width="9.5703125" style="114" customWidth="1"/>
    <col min="11031" max="11033" width="9.7109375" style="114" customWidth="1"/>
    <col min="11034" max="11264" width="8.85546875" style="114"/>
    <col min="11265" max="11266" width="10.85546875" style="114" customWidth="1"/>
    <col min="11267" max="11267" width="21" style="114" customWidth="1"/>
    <col min="11268" max="11268" width="8.85546875" style="114"/>
    <col min="11269" max="11269" width="10.42578125" style="114" customWidth="1"/>
    <col min="11270" max="11270" width="12" style="114" bestFit="1" customWidth="1"/>
    <col min="11271" max="11271" width="10.42578125" style="114" customWidth="1"/>
    <col min="11272" max="11272" width="11.140625" style="114" bestFit="1" customWidth="1"/>
    <col min="11273" max="11273" width="12.5703125" style="114" bestFit="1" customWidth="1"/>
    <col min="11274" max="11276" width="14.140625" style="114" bestFit="1" customWidth="1"/>
    <col min="11277" max="11282" width="10.5703125" style="114" customWidth="1"/>
    <col min="11283" max="11286" width="9.5703125" style="114" customWidth="1"/>
    <col min="11287" max="11289" width="9.7109375" style="114" customWidth="1"/>
    <col min="11290" max="11520" width="8.85546875" style="114"/>
    <col min="11521" max="11522" width="10.85546875" style="114" customWidth="1"/>
    <col min="11523" max="11523" width="21" style="114" customWidth="1"/>
    <col min="11524" max="11524" width="8.85546875" style="114"/>
    <col min="11525" max="11525" width="10.42578125" style="114" customWidth="1"/>
    <col min="11526" max="11526" width="12" style="114" bestFit="1" customWidth="1"/>
    <col min="11527" max="11527" width="10.42578125" style="114" customWidth="1"/>
    <col min="11528" max="11528" width="11.140625" style="114" bestFit="1" customWidth="1"/>
    <col min="11529" max="11529" width="12.5703125" style="114" bestFit="1" customWidth="1"/>
    <col min="11530" max="11532" width="14.140625" style="114" bestFit="1" customWidth="1"/>
    <col min="11533" max="11538" width="10.5703125" style="114" customWidth="1"/>
    <col min="11539" max="11542" width="9.5703125" style="114" customWidth="1"/>
    <col min="11543" max="11545" width="9.7109375" style="114" customWidth="1"/>
    <col min="11546" max="11776" width="8.85546875" style="114"/>
    <col min="11777" max="11778" width="10.85546875" style="114" customWidth="1"/>
    <col min="11779" max="11779" width="21" style="114" customWidth="1"/>
    <col min="11780" max="11780" width="8.85546875" style="114"/>
    <col min="11781" max="11781" width="10.42578125" style="114" customWidth="1"/>
    <col min="11782" max="11782" width="12" style="114" bestFit="1" customWidth="1"/>
    <col min="11783" max="11783" width="10.42578125" style="114" customWidth="1"/>
    <col min="11784" max="11784" width="11.140625" style="114" bestFit="1" customWidth="1"/>
    <col min="11785" max="11785" width="12.5703125" style="114" bestFit="1" customWidth="1"/>
    <col min="11786" max="11788" width="14.140625" style="114" bestFit="1" customWidth="1"/>
    <col min="11789" max="11794" width="10.5703125" style="114" customWidth="1"/>
    <col min="11795" max="11798" width="9.5703125" style="114" customWidth="1"/>
    <col min="11799" max="11801" width="9.7109375" style="114" customWidth="1"/>
    <col min="11802" max="12032" width="8.85546875" style="114"/>
    <col min="12033" max="12034" width="10.85546875" style="114" customWidth="1"/>
    <col min="12035" max="12035" width="21" style="114" customWidth="1"/>
    <col min="12036" max="12036" width="8.85546875" style="114"/>
    <col min="12037" max="12037" width="10.42578125" style="114" customWidth="1"/>
    <col min="12038" max="12038" width="12" style="114" bestFit="1" customWidth="1"/>
    <col min="12039" max="12039" width="10.42578125" style="114" customWidth="1"/>
    <col min="12040" max="12040" width="11.140625" style="114" bestFit="1" customWidth="1"/>
    <col min="12041" max="12041" width="12.5703125" style="114" bestFit="1" customWidth="1"/>
    <col min="12042" max="12044" width="14.140625" style="114" bestFit="1" customWidth="1"/>
    <col min="12045" max="12050" width="10.5703125" style="114" customWidth="1"/>
    <col min="12051" max="12054" width="9.5703125" style="114" customWidth="1"/>
    <col min="12055" max="12057" width="9.7109375" style="114" customWidth="1"/>
    <col min="12058" max="12288" width="8.85546875" style="114"/>
    <col min="12289" max="12290" width="10.85546875" style="114" customWidth="1"/>
    <col min="12291" max="12291" width="21" style="114" customWidth="1"/>
    <col min="12292" max="12292" width="8.85546875" style="114"/>
    <col min="12293" max="12293" width="10.42578125" style="114" customWidth="1"/>
    <col min="12294" max="12294" width="12" style="114" bestFit="1" customWidth="1"/>
    <col min="12295" max="12295" width="10.42578125" style="114" customWidth="1"/>
    <col min="12296" max="12296" width="11.140625" style="114" bestFit="1" customWidth="1"/>
    <col min="12297" max="12297" width="12.5703125" style="114" bestFit="1" customWidth="1"/>
    <col min="12298" max="12300" width="14.140625" style="114" bestFit="1" customWidth="1"/>
    <col min="12301" max="12306" width="10.5703125" style="114" customWidth="1"/>
    <col min="12307" max="12310" width="9.5703125" style="114" customWidth="1"/>
    <col min="12311" max="12313" width="9.7109375" style="114" customWidth="1"/>
    <col min="12314" max="12544" width="8.85546875" style="114"/>
    <col min="12545" max="12546" width="10.85546875" style="114" customWidth="1"/>
    <col min="12547" max="12547" width="21" style="114" customWidth="1"/>
    <col min="12548" max="12548" width="8.85546875" style="114"/>
    <col min="12549" max="12549" width="10.42578125" style="114" customWidth="1"/>
    <col min="12550" max="12550" width="12" style="114" bestFit="1" customWidth="1"/>
    <col min="12551" max="12551" width="10.42578125" style="114" customWidth="1"/>
    <col min="12552" max="12552" width="11.140625" style="114" bestFit="1" customWidth="1"/>
    <col min="12553" max="12553" width="12.5703125" style="114" bestFit="1" customWidth="1"/>
    <col min="12554" max="12556" width="14.140625" style="114" bestFit="1" customWidth="1"/>
    <col min="12557" max="12562" width="10.5703125" style="114" customWidth="1"/>
    <col min="12563" max="12566" width="9.5703125" style="114" customWidth="1"/>
    <col min="12567" max="12569" width="9.7109375" style="114" customWidth="1"/>
    <col min="12570" max="12800" width="8.85546875" style="114"/>
    <col min="12801" max="12802" width="10.85546875" style="114" customWidth="1"/>
    <col min="12803" max="12803" width="21" style="114" customWidth="1"/>
    <col min="12804" max="12804" width="8.85546875" style="114"/>
    <col min="12805" max="12805" width="10.42578125" style="114" customWidth="1"/>
    <col min="12806" max="12806" width="12" style="114" bestFit="1" customWidth="1"/>
    <col min="12807" max="12807" width="10.42578125" style="114" customWidth="1"/>
    <col min="12808" max="12808" width="11.140625" style="114" bestFit="1" customWidth="1"/>
    <col min="12809" max="12809" width="12.5703125" style="114" bestFit="1" customWidth="1"/>
    <col min="12810" max="12812" width="14.140625" style="114" bestFit="1" customWidth="1"/>
    <col min="12813" max="12818" width="10.5703125" style="114" customWidth="1"/>
    <col min="12819" max="12822" width="9.5703125" style="114" customWidth="1"/>
    <col min="12823" max="12825" width="9.7109375" style="114" customWidth="1"/>
    <col min="12826" max="13056" width="8.85546875" style="114"/>
    <col min="13057" max="13058" width="10.85546875" style="114" customWidth="1"/>
    <col min="13059" max="13059" width="21" style="114" customWidth="1"/>
    <col min="13060" max="13060" width="8.85546875" style="114"/>
    <col min="13061" max="13061" width="10.42578125" style="114" customWidth="1"/>
    <col min="13062" max="13062" width="12" style="114" bestFit="1" customWidth="1"/>
    <col min="13063" max="13063" width="10.42578125" style="114" customWidth="1"/>
    <col min="13064" max="13064" width="11.140625" style="114" bestFit="1" customWidth="1"/>
    <col min="13065" max="13065" width="12.5703125" style="114" bestFit="1" customWidth="1"/>
    <col min="13066" max="13068" width="14.140625" style="114" bestFit="1" customWidth="1"/>
    <col min="13069" max="13074" width="10.5703125" style="114" customWidth="1"/>
    <col min="13075" max="13078" width="9.5703125" style="114" customWidth="1"/>
    <col min="13079" max="13081" width="9.7109375" style="114" customWidth="1"/>
    <col min="13082" max="13312" width="8.85546875" style="114"/>
    <col min="13313" max="13314" width="10.85546875" style="114" customWidth="1"/>
    <col min="13315" max="13315" width="21" style="114" customWidth="1"/>
    <col min="13316" max="13316" width="8.85546875" style="114"/>
    <col min="13317" max="13317" width="10.42578125" style="114" customWidth="1"/>
    <col min="13318" max="13318" width="12" style="114" bestFit="1" customWidth="1"/>
    <col min="13319" max="13319" width="10.42578125" style="114" customWidth="1"/>
    <col min="13320" max="13320" width="11.140625" style="114" bestFit="1" customWidth="1"/>
    <col min="13321" max="13321" width="12.5703125" style="114" bestFit="1" customWidth="1"/>
    <col min="13322" max="13324" width="14.140625" style="114" bestFit="1" customWidth="1"/>
    <col min="13325" max="13330" width="10.5703125" style="114" customWidth="1"/>
    <col min="13331" max="13334" width="9.5703125" style="114" customWidth="1"/>
    <col min="13335" max="13337" width="9.7109375" style="114" customWidth="1"/>
    <col min="13338" max="13568" width="8.85546875" style="114"/>
    <col min="13569" max="13570" width="10.85546875" style="114" customWidth="1"/>
    <col min="13571" max="13571" width="21" style="114" customWidth="1"/>
    <col min="13572" max="13572" width="8.85546875" style="114"/>
    <col min="13573" max="13573" width="10.42578125" style="114" customWidth="1"/>
    <col min="13574" max="13574" width="12" style="114" bestFit="1" customWidth="1"/>
    <col min="13575" max="13575" width="10.42578125" style="114" customWidth="1"/>
    <col min="13576" max="13576" width="11.140625" style="114" bestFit="1" customWidth="1"/>
    <col min="13577" max="13577" width="12.5703125" style="114" bestFit="1" customWidth="1"/>
    <col min="13578" max="13580" width="14.140625" style="114" bestFit="1" customWidth="1"/>
    <col min="13581" max="13586" width="10.5703125" style="114" customWidth="1"/>
    <col min="13587" max="13590" width="9.5703125" style="114" customWidth="1"/>
    <col min="13591" max="13593" width="9.7109375" style="114" customWidth="1"/>
    <col min="13594" max="13824" width="8.85546875" style="114"/>
    <col min="13825" max="13826" width="10.85546875" style="114" customWidth="1"/>
    <col min="13827" max="13827" width="21" style="114" customWidth="1"/>
    <col min="13828" max="13828" width="8.85546875" style="114"/>
    <col min="13829" max="13829" width="10.42578125" style="114" customWidth="1"/>
    <col min="13830" max="13830" width="12" style="114" bestFit="1" customWidth="1"/>
    <col min="13831" max="13831" width="10.42578125" style="114" customWidth="1"/>
    <col min="13832" max="13832" width="11.140625" style="114" bestFit="1" customWidth="1"/>
    <col min="13833" max="13833" width="12.5703125" style="114" bestFit="1" customWidth="1"/>
    <col min="13834" max="13836" width="14.140625" style="114" bestFit="1" customWidth="1"/>
    <col min="13837" max="13842" width="10.5703125" style="114" customWidth="1"/>
    <col min="13843" max="13846" width="9.5703125" style="114" customWidth="1"/>
    <col min="13847" max="13849" width="9.7109375" style="114" customWidth="1"/>
    <col min="13850" max="14080" width="8.85546875" style="114"/>
    <col min="14081" max="14082" width="10.85546875" style="114" customWidth="1"/>
    <col min="14083" max="14083" width="21" style="114" customWidth="1"/>
    <col min="14084" max="14084" width="8.85546875" style="114"/>
    <col min="14085" max="14085" width="10.42578125" style="114" customWidth="1"/>
    <col min="14086" max="14086" width="12" style="114" bestFit="1" customWidth="1"/>
    <col min="14087" max="14087" width="10.42578125" style="114" customWidth="1"/>
    <col min="14088" max="14088" width="11.140625" style="114" bestFit="1" customWidth="1"/>
    <col min="14089" max="14089" width="12.5703125" style="114" bestFit="1" customWidth="1"/>
    <col min="14090" max="14092" width="14.140625" style="114" bestFit="1" customWidth="1"/>
    <col min="14093" max="14098" width="10.5703125" style="114" customWidth="1"/>
    <col min="14099" max="14102" width="9.5703125" style="114" customWidth="1"/>
    <col min="14103" max="14105" width="9.7109375" style="114" customWidth="1"/>
    <col min="14106" max="14336" width="8.85546875" style="114"/>
    <col min="14337" max="14338" width="10.85546875" style="114" customWidth="1"/>
    <col min="14339" max="14339" width="21" style="114" customWidth="1"/>
    <col min="14340" max="14340" width="8.85546875" style="114"/>
    <col min="14341" max="14341" width="10.42578125" style="114" customWidth="1"/>
    <col min="14342" max="14342" width="12" style="114" bestFit="1" customWidth="1"/>
    <col min="14343" max="14343" width="10.42578125" style="114" customWidth="1"/>
    <col min="14344" max="14344" width="11.140625" style="114" bestFit="1" customWidth="1"/>
    <col min="14345" max="14345" width="12.5703125" style="114" bestFit="1" customWidth="1"/>
    <col min="14346" max="14348" width="14.140625" style="114" bestFit="1" customWidth="1"/>
    <col min="14349" max="14354" width="10.5703125" style="114" customWidth="1"/>
    <col min="14355" max="14358" width="9.5703125" style="114" customWidth="1"/>
    <col min="14359" max="14361" width="9.7109375" style="114" customWidth="1"/>
    <col min="14362" max="14592" width="8.85546875" style="114"/>
    <col min="14593" max="14594" width="10.85546875" style="114" customWidth="1"/>
    <col min="14595" max="14595" width="21" style="114" customWidth="1"/>
    <col min="14596" max="14596" width="8.85546875" style="114"/>
    <col min="14597" max="14597" width="10.42578125" style="114" customWidth="1"/>
    <col min="14598" max="14598" width="12" style="114" bestFit="1" customWidth="1"/>
    <col min="14599" max="14599" width="10.42578125" style="114" customWidth="1"/>
    <col min="14600" max="14600" width="11.140625" style="114" bestFit="1" customWidth="1"/>
    <col min="14601" max="14601" width="12.5703125" style="114" bestFit="1" customWidth="1"/>
    <col min="14602" max="14604" width="14.140625" style="114" bestFit="1" customWidth="1"/>
    <col min="14605" max="14610" width="10.5703125" style="114" customWidth="1"/>
    <col min="14611" max="14614" width="9.5703125" style="114" customWidth="1"/>
    <col min="14615" max="14617" width="9.7109375" style="114" customWidth="1"/>
    <col min="14618" max="14848" width="8.85546875" style="114"/>
    <col min="14849" max="14850" width="10.85546875" style="114" customWidth="1"/>
    <col min="14851" max="14851" width="21" style="114" customWidth="1"/>
    <col min="14852" max="14852" width="8.85546875" style="114"/>
    <col min="14853" max="14853" width="10.42578125" style="114" customWidth="1"/>
    <col min="14854" max="14854" width="12" style="114" bestFit="1" customWidth="1"/>
    <col min="14855" max="14855" width="10.42578125" style="114" customWidth="1"/>
    <col min="14856" max="14856" width="11.140625" style="114" bestFit="1" customWidth="1"/>
    <col min="14857" max="14857" width="12.5703125" style="114" bestFit="1" customWidth="1"/>
    <col min="14858" max="14860" width="14.140625" style="114" bestFit="1" customWidth="1"/>
    <col min="14861" max="14866" width="10.5703125" style="114" customWidth="1"/>
    <col min="14867" max="14870" width="9.5703125" style="114" customWidth="1"/>
    <col min="14871" max="14873" width="9.7109375" style="114" customWidth="1"/>
    <col min="14874" max="15104" width="8.85546875" style="114"/>
    <col min="15105" max="15106" width="10.85546875" style="114" customWidth="1"/>
    <col min="15107" max="15107" width="21" style="114" customWidth="1"/>
    <col min="15108" max="15108" width="8.85546875" style="114"/>
    <col min="15109" max="15109" width="10.42578125" style="114" customWidth="1"/>
    <col min="15110" max="15110" width="12" style="114" bestFit="1" customWidth="1"/>
    <col min="15111" max="15111" width="10.42578125" style="114" customWidth="1"/>
    <col min="15112" max="15112" width="11.140625" style="114" bestFit="1" customWidth="1"/>
    <col min="15113" max="15113" width="12.5703125" style="114" bestFit="1" customWidth="1"/>
    <col min="15114" max="15116" width="14.140625" style="114" bestFit="1" customWidth="1"/>
    <col min="15117" max="15122" width="10.5703125" style="114" customWidth="1"/>
    <col min="15123" max="15126" width="9.5703125" style="114" customWidth="1"/>
    <col min="15127" max="15129" width="9.7109375" style="114" customWidth="1"/>
    <col min="15130" max="15360" width="8.85546875" style="114"/>
    <col min="15361" max="15362" width="10.85546875" style="114" customWidth="1"/>
    <col min="15363" max="15363" width="21" style="114" customWidth="1"/>
    <col min="15364" max="15364" width="8.85546875" style="114"/>
    <col min="15365" max="15365" width="10.42578125" style="114" customWidth="1"/>
    <col min="15366" max="15366" width="12" style="114" bestFit="1" customWidth="1"/>
    <col min="15367" max="15367" width="10.42578125" style="114" customWidth="1"/>
    <col min="15368" max="15368" width="11.140625" style="114" bestFit="1" customWidth="1"/>
    <col min="15369" max="15369" width="12.5703125" style="114" bestFit="1" customWidth="1"/>
    <col min="15370" max="15372" width="14.140625" style="114" bestFit="1" customWidth="1"/>
    <col min="15373" max="15378" width="10.5703125" style="114" customWidth="1"/>
    <col min="15379" max="15382" width="9.5703125" style="114" customWidth="1"/>
    <col min="15383" max="15385" width="9.7109375" style="114" customWidth="1"/>
    <col min="15386" max="15616" width="8.85546875" style="114"/>
    <col min="15617" max="15618" width="10.85546875" style="114" customWidth="1"/>
    <col min="15619" max="15619" width="21" style="114" customWidth="1"/>
    <col min="15620" max="15620" width="8.85546875" style="114"/>
    <col min="15621" max="15621" width="10.42578125" style="114" customWidth="1"/>
    <col min="15622" max="15622" width="12" style="114" bestFit="1" customWidth="1"/>
    <col min="15623" max="15623" width="10.42578125" style="114" customWidth="1"/>
    <col min="15624" max="15624" width="11.140625" style="114" bestFit="1" customWidth="1"/>
    <col min="15625" max="15625" width="12.5703125" style="114" bestFit="1" customWidth="1"/>
    <col min="15626" max="15628" width="14.140625" style="114" bestFit="1" customWidth="1"/>
    <col min="15629" max="15634" width="10.5703125" style="114" customWidth="1"/>
    <col min="15635" max="15638" width="9.5703125" style="114" customWidth="1"/>
    <col min="15639" max="15641" width="9.7109375" style="114" customWidth="1"/>
    <col min="15642" max="15872" width="8.85546875" style="114"/>
    <col min="15873" max="15874" width="10.85546875" style="114" customWidth="1"/>
    <col min="15875" max="15875" width="21" style="114" customWidth="1"/>
    <col min="15876" max="15876" width="8.85546875" style="114"/>
    <col min="15877" max="15877" width="10.42578125" style="114" customWidth="1"/>
    <col min="15878" max="15878" width="12" style="114" bestFit="1" customWidth="1"/>
    <col min="15879" max="15879" width="10.42578125" style="114" customWidth="1"/>
    <col min="15880" max="15880" width="11.140625" style="114" bestFit="1" customWidth="1"/>
    <col min="15881" max="15881" width="12.5703125" style="114" bestFit="1" customWidth="1"/>
    <col min="15882" max="15884" width="14.140625" style="114" bestFit="1" customWidth="1"/>
    <col min="15885" max="15890" width="10.5703125" style="114" customWidth="1"/>
    <col min="15891" max="15894" width="9.5703125" style="114" customWidth="1"/>
    <col min="15895" max="15897" width="9.7109375" style="114" customWidth="1"/>
    <col min="15898" max="16128" width="8.85546875" style="114"/>
    <col min="16129" max="16130" width="10.85546875" style="114" customWidth="1"/>
    <col min="16131" max="16131" width="21" style="114" customWidth="1"/>
    <col min="16132" max="16132" width="8.85546875" style="114"/>
    <col min="16133" max="16133" width="10.42578125" style="114" customWidth="1"/>
    <col min="16134" max="16134" width="12" style="114" bestFit="1" customWidth="1"/>
    <col min="16135" max="16135" width="10.42578125" style="114" customWidth="1"/>
    <col min="16136" max="16136" width="11.140625" style="114" bestFit="1" customWidth="1"/>
    <col min="16137" max="16137" width="12.5703125" style="114" bestFit="1" customWidth="1"/>
    <col min="16138" max="16140" width="14.140625" style="114" bestFit="1" customWidth="1"/>
    <col min="16141" max="16146" width="10.5703125" style="114" customWidth="1"/>
    <col min="16147" max="16150" width="9.5703125" style="114" customWidth="1"/>
    <col min="16151" max="16153" width="9.7109375" style="114" customWidth="1"/>
    <col min="16154" max="16384" width="8.85546875" style="114"/>
  </cols>
  <sheetData>
    <row r="1" spans="1:27" x14ac:dyDescent="0.25">
      <c r="J1" s="114" t="s">
        <v>246</v>
      </c>
      <c r="K1" s="114" t="s">
        <v>247</v>
      </c>
    </row>
    <row r="2" spans="1:27" x14ac:dyDescent="0.25">
      <c r="B2" s="114" t="s">
        <v>157</v>
      </c>
      <c r="C2" s="115" t="s">
        <v>158</v>
      </c>
      <c r="D2" s="116">
        <f>Sovereign!D52</f>
        <v>5</v>
      </c>
      <c r="F2" s="114" t="s">
        <v>159</v>
      </c>
      <c r="G2" s="117" t="s">
        <v>160</v>
      </c>
      <c r="I2" s="114" t="s">
        <v>11</v>
      </c>
      <c r="J2" s="249">
        <f>Sovereign!O33</f>
        <v>5.9177900398128098E-2</v>
      </c>
      <c r="K2" s="249">
        <v>0.4</v>
      </c>
    </row>
    <row r="3" spans="1:27" x14ac:dyDescent="0.25">
      <c r="C3" s="115" t="s">
        <v>161</v>
      </c>
      <c r="D3" s="115"/>
      <c r="I3" s="114" t="s">
        <v>12</v>
      </c>
      <c r="J3" s="249">
        <f>Sovereign!O39</f>
        <v>5.9177900398128098E-2</v>
      </c>
      <c r="K3" s="249">
        <v>0.4</v>
      </c>
    </row>
    <row r="4" spans="1:27" x14ac:dyDescent="0.25">
      <c r="C4" s="115" t="s">
        <v>162</v>
      </c>
      <c r="D4" s="115"/>
      <c r="I4" s="114" t="s">
        <v>13</v>
      </c>
      <c r="J4" s="249">
        <f>Sovereign!O45</f>
        <v>5.9177900398128098E-2</v>
      </c>
      <c r="K4" s="249">
        <v>0.4</v>
      </c>
    </row>
    <row r="5" spans="1:27" x14ac:dyDescent="0.25">
      <c r="M5" s="119"/>
      <c r="N5" s="120" t="s">
        <v>163</v>
      </c>
      <c r="O5" s="121"/>
      <c r="S5" s="118"/>
    </row>
    <row r="6" spans="1:27" x14ac:dyDescent="0.25">
      <c r="E6" s="434" t="s">
        <v>164</v>
      </c>
      <c r="F6" s="435"/>
      <c r="G6" s="436"/>
      <c r="H6" s="441" t="s">
        <v>165</v>
      </c>
      <c r="I6" s="435"/>
      <c r="J6" s="435"/>
      <c r="K6" s="435"/>
      <c r="L6" s="436"/>
      <c r="M6" s="434" t="s">
        <v>164</v>
      </c>
      <c r="N6" s="435"/>
      <c r="O6" s="436"/>
      <c r="P6" s="434" t="s">
        <v>165</v>
      </c>
      <c r="Q6" s="435"/>
      <c r="R6" s="436"/>
      <c r="S6" s="434" t="s">
        <v>165</v>
      </c>
      <c r="T6" s="435"/>
      <c r="U6" s="436"/>
      <c r="W6" s="122" t="s">
        <v>166</v>
      </c>
      <c r="Z6" s="123"/>
      <c r="AA6" s="123"/>
    </row>
    <row r="7" spans="1:27" x14ac:dyDescent="0.25">
      <c r="E7" s="124"/>
      <c r="F7" s="124"/>
      <c r="G7" s="124"/>
      <c r="J7" s="125" t="s">
        <v>11</v>
      </c>
      <c r="K7" s="126" t="s">
        <v>12</v>
      </c>
      <c r="L7" s="127" t="s">
        <v>13</v>
      </c>
      <c r="M7" s="128" t="s">
        <v>11</v>
      </c>
      <c r="N7" s="128" t="s">
        <v>12</v>
      </c>
      <c r="O7" s="129" t="s">
        <v>13</v>
      </c>
      <c r="P7" s="130" t="s">
        <v>11</v>
      </c>
      <c r="Q7" s="130" t="s">
        <v>12</v>
      </c>
      <c r="R7" s="127" t="s">
        <v>13</v>
      </c>
      <c r="S7" s="130" t="s">
        <v>11</v>
      </c>
      <c r="T7" s="130" t="s">
        <v>12</v>
      </c>
      <c r="U7" s="127" t="s">
        <v>13</v>
      </c>
      <c r="V7" s="131"/>
      <c r="W7" s="132" t="s">
        <v>167</v>
      </c>
    </row>
    <row r="8" spans="1:27" x14ac:dyDescent="0.25">
      <c r="E8" s="434" t="s">
        <v>168</v>
      </c>
      <c r="F8" s="435"/>
      <c r="G8" s="436"/>
      <c r="H8" s="133" t="s">
        <v>169</v>
      </c>
      <c r="I8" s="134" t="s">
        <v>170</v>
      </c>
      <c r="J8" s="134" t="s">
        <v>171</v>
      </c>
      <c r="K8" s="134" t="s">
        <v>171</v>
      </c>
      <c r="L8" s="134" t="s">
        <v>171</v>
      </c>
      <c r="M8" s="134" t="s">
        <v>172</v>
      </c>
      <c r="N8" s="134" t="s">
        <v>172</v>
      </c>
      <c r="O8" s="134" t="s">
        <v>172</v>
      </c>
      <c r="P8" s="134" t="s">
        <v>173</v>
      </c>
      <c r="Q8" s="134" t="s">
        <v>173</v>
      </c>
      <c r="R8" s="134" t="s">
        <v>173</v>
      </c>
      <c r="S8" s="135" t="s">
        <v>174</v>
      </c>
      <c r="T8" s="136" t="s">
        <v>174</v>
      </c>
      <c r="U8" s="137" t="s">
        <v>174</v>
      </c>
      <c r="V8" s="131"/>
      <c r="W8" s="133" t="s">
        <v>175</v>
      </c>
    </row>
    <row r="9" spans="1:27" x14ac:dyDescent="0.25">
      <c r="C9" s="138" t="s">
        <v>176</v>
      </c>
      <c r="D9" s="139" t="s">
        <v>177</v>
      </c>
      <c r="E9" s="140">
        <v>100</v>
      </c>
      <c r="F9" s="140">
        <v>100</v>
      </c>
      <c r="G9" s="140">
        <v>100</v>
      </c>
      <c r="H9" s="141"/>
      <c r="I9" s="142"/>
      <c r="J9" s="142"/>
      <c r="K9" s="142"/>
      <c r="L9" s="142"/>
      <c r="M9" s="143"/>
      <c r="N9" s="142"/>
      <c r="O9" s="142"/>
      <c r="P9" s="142"/>
      <c r="Q9" s="142"/>
      <c r="R9" s="142"/>
      <c r="S9" s="144"/>
      <c r="T9" s="145"/>
      <c r="U9" s="145"/>
      <c r="V9" s="145"/>
      <c r="W9" s="146">
        <v>1</v>
      </c>
    </row>
    <row r="10" spans="1:27" x14ac:dyDescent="0.25">
      <c r="C10" s="437" t="s">
        <v>178</v>
      </c>
      <c r="D10" s="147" t="s">
        <v>11</v>
      </c>
      <c r="E10" s="148">
        <v>100</v>
      </c>
      <c r="F10" s="148">
        <v>100</v>
      </c>
      <c r="G10" s="148">
        <v>100</v>
      </c>
      <c r="H10" s="149">
        <f>'Processor LT adverse (sov) S12'!J2</f>
        <v>5.9177900398128098E-2</v>
      </c>
      <c r="I10" s="150">
        <f>'Processor LT adverse (sov) S12'!K2</f>
        <v>0.4</v>
      </c>
      <c r="J10" s="150">
        <f>I10*E10/100</f>
        <v>0.4</v>
      </c>
      <c r="K10" s="150"/>
      <c r="L10" s="150"/>
      <c r="M10" s="151">
        <v>1</v>
      </c>
      <c r="N10" s="152"/>
      <c r="O10" s="152"/>
      <c r="P10" s="152">
        <f>H10*J10*M10</f>
        <v>2.3671160159251241E-2</v>
      </c>
      <c r="Q10" s="152"/>
      <c r="R10" s="152"/>
      <c r="S10" s="153">
        <f>P10*$E10</f>
        <v>2.3671160159251241</v>
      </c>
      <c r="T10" s="144"/>
      <c r="U10" s="144"/>
      <c r="W10" s="154">
        <f t="shared" ref="W10:W61" si="0">1-H10</f>
        <v>0.94082209960187191</v>
      </c>
    </row>
    <row r="11" spans="1:27" x14ac:dyDescent="0.25">
      <c r="C11" s="438"/>
      <c r="D11" s="147" t="s">
        <v>12</v>
      </c>
      <c r="E11" s="148">
        <f>IF($D$2&gt;1,100,0)</f>
        <v>100</v>
      </c>
      <c r="F11" s="148">
        <v>100</v>
      </c>
      <c r="G11" s="148">
        <v>100</v>
      </c>
      <c r="H11" s="149">
        <f>'Processor LT adverse (sov) S12'!J3</f>
        <v>5.9177900398128098E-2</v>
      </c>
      <c r="I11" s="150">
        <f>'Processor LT adverse (sov) S12'!K3</f>
        <v>0.4</v>
      </c>
      <c r="J11" s="150">
        <f>I11*E11/100</f>
        <v>0.4</v>
      </c>
      <c r="K11" s="150">
        <f>I11*F11/100</f>
        <v>0.4</v>
      </c>
      <c r="L11" s="150"/>
      <c r="M11" s="360">
        <f>M10*W10</f>
        <v>0.94082209960187191</v>
      </c>
      <c r="N11" s="151">
        <v>1</v>
      </c>
      <c r="O11" s="155"/>
      <c r="P11" s="152">
        <f t="shared" ref="P11:P59" si="1">H11*J11*M11</f>
        <v>2.2270350601038932E-2</v>
      </c>
      <c r="Q11" s="152">
        <f>N11*K11*H11</f>
        <v>2.3671160159251241E-2</v>
      </c>
      <c r="R11" s="152"/>
      <c r="S11" s="156">
        <f>P11*$E11</f>
        <v>2.2270350601038933</v>
      </c>
      <c r="T11" s="153">
        <f t="shared" ref="T11:T59" si="2">Q11*$F11</f>
        <v>2.3671160159251241</v>
      </c>
      <c r="U11" s="144"/>
      <c r="W11" s="154">
        <f t="shared" si="0"/>
        <v>0.94082209960187191</v>
      </c>
    </row>
    <row r="12" spans="1:27" x14ac:dyDescent="0.25">
      <c r="C12" s="426"/>
      <c r="D12" s="157" t="s">
        <v>13</v>
      </c>
      <c r="E12" s="158">
        <f>IF($D$2&gt;2,100,0)</f>
        <v>100</v>
      </c>
      <c r="F12" s="140">
        <f>IF($D$2&gt;1,100,0)</f>
        <v>100</v>
      </c>
      <c r="G12" s="159">
        <v>100</v>
      </c>
      <c r="H12" s="160">
        <f>'Processor LT adverse (sov) S12'!J4</f>
        <v>5.9177900398128098E-2</v>
      </c>
      <c r="I12" s="161">
        <f>'Processor LT adverse (sov) S12'!K4</f>
        <v>0.4</v>
      </c>
      <c r="J12" s="161">
        <f>I12*E12/100</f>
        <v>0.4</v>
      </c>
      <c r="K12" s="161">
        <f>I12*F12/100</f>
        <v>0.4</v>
      </c>
      <c r="L12" s="161">
        <f>I12*G12/100</f>
        <v>0.4</v>
      </c>
      <c r="M12" s="142">
        <f t="shared" ref="M12:M59" si="3">M11*W11</f>
        <v>0.8851462230992746</v>
      </c>
      <c r="N12" s="142">
        <f>N11*W11</f>
        <v>0.94082209960187191</v>
      </c>
      <c r="O12" s="162">
        <v>1</v>
      </c>
      <c r="P12" s="142">
        <f t="shared" si="1"/>
        <v>2.095243801133926E-2</v>
      </c>
      <c r="Q12" s="142">
        <f t="shared" ref="Q12:Q59" si="4">N12*K12*H12</f>
        <v>2.2270350601038932E-2</v>
      </c>
      <c r="R12" s="142">
        <f>H12*L12*O12</f>
        <v>2.3671160159251241E-2</v>
      </c>
      <c r="S12" s="156">
        <f>P12*$E12</f>
        <v>2.0952438011339258</v>
      </c>
      <c r="T12" s="156">
        <f t="shared" si="2"/>
        <v>2.2270350601038933</v>
      </c>
      <c r="U12" s="153">
        <f t="shared" ref="U12:U22" si="5">R12*$G12</f>
        <v>2.3671160159251241</v>
      </c>
      <c r="W12" s="154">
        <f t="shared" si="0"/>
        <v>0.94082209960187191</v>
      </c>
    </row>
    <row r="13" spans="1:27" x14ac:dyDescent="0.25">
      <c r="A13" s="163"/>
      <c r="C13" s="439" t="s">
        <v>179</v>
      </c>
      <c r="D13" s="147" t="s">
        <v>180</v>
      </c>
      <c r="E13" s="148">
        <f>IF($D$2&gt;3,100,0)</f>
        <v>100</v>
      </c>
      <c r="F13" s="148">
        <f>IF($D$2&gt;2,100,0)</f>
        <v>100</v>
      </c>
      <c r="G13" s="148">
        <f>IF($D$2&gt;1,100,0)</f>
        <v>100</v>
      </c>
      <c r="H13" s="147">
        <f t="shared" ref="H13:H18" si="6">($H$19-$H$12)/7+H12</f>
        <v>5.9177900398128098E-2</v>
      </c>
      <c r="I13" s="147">
        <f t="shared" ref="I13:I18" si="7">($I$19-$I$12)/7+I12</f>
        <v>0.4</v>
      </c>
      <c r="J13" s="164">
        <f>I13*E13/100</f>
        <v>0.4</v>
      </c>
      <c r="K13" s="164">
        <f>I13*F13/100</f>
        <v>0.4</v>
      </c>
      <c r="L13" s="164">
        <f>I13*G13/100</f>
        <v>0.4</v>
      </c>
      <c r="M13" s="164">
        <f t="shared" si="3"/>
        <v>0.83276512807092651</v>
      </c>
      <c r="N13" s="164">
        <f t="shared" ref="N13:N59" si="8">N12*W12</f>
        <v>0.8851462230992746</v>
      </c>
      <c r="O13" s="164">
        <f>O12*W12</f>
        <v>0.94082209960187191</v>
      </c>
      <c r="P13" s="164">
        <f t="shared" si="1"/>
        <v>1.9712516721606274E-2</v>
      </c>
      <c r="Q13" s="164">
        <f t="shared" si="4"/>
        <v>2.095243801133926E-2</v>
      </c>
      <c r="R13" s="164">
        <f t="shared" ref="R13:R59" si="9">H13*L13*O13</f>
        <v>2.2270350601038932E-2</v>
      </c>
      <c r="S13" s="156">
        <f>P13*$E13</f>
        <v>1.9712516721606275</v>
      </c>
      <c r="T13" s="156">
        <f t="shared" si="2"/>
        <v>2.0952438011339258</v>
      </c>
      <c r="U13" s="165">
        <f t="shared" si="5"/>
        <v>2.2270350601038933</v>
      </c>
      <c r="W13" s="154">
        <f t="shared" si="0"/>
        <v>0.94082209960187191</v>
      </c>
    </row>
    <row r="14" spans="1:27" x14ac:dyDescent="0.25">
      <c r="A14" s="163"/>
      <c r="B14" s="163"/>
      <c r="C14" s="440"/>
      <c r="D14" s="147" t="s">
        <v>181</v>
      </c>
      <c r="E14" s="166">
        <f>IF(E13&gt;0.1,-100/($D$2-3)+E13,0)</f>
        <v>50</v>
      </c>
      <c r="F14" s="167">
        <f>IF(F13&gt;0.1,-100/($D$2-2)+F13,0)</f>
        <v>66.666666666666657</v>
      </c>
      <c r="G14" s="168">
        <f>IF(G13&gt;0.1,-100/($D$2-1)+G13,0)</f>
        <v>75</v>
      </c>
      <c r="H14" s="147">
        <f t="shared" si="6"/>
        <v>5.9177900398128098E-2</v>
      </c>
      <c r="I14" s="164">
        <f t="shared" si="7"/>
        <v>0.4</v>
      </c>
      <c r="J14" s="164">
        <f t="shared" ref="J14:J59" si="10">I14*E14/100</f>
        <v>0.2</v>
      </c>
      <c r="K14" s="164">
        <f t="shared" ref="K14:K59" si="11">I14*F14/100</f>
        <v>0.26666666666666666</v>
      </c>
      <c r="L14" s="164">
        <f t="shared" ref="L14:L59" si="12">I14*G14/100</f>
        <v>0.3</v>
      </c>
      <c r="M14" s="164">
        <f t="shared" si="3"/>
        <v>0.78348383626691087</v>
      </c>
      <c r="N14" s="164">
        <f t="shared" si="8"/>
        <v>0.83276512807092651</v>
      </c>
      <c r="O14" s="164">
        <f t="shared" ref="O14:O59" si="13">O13*W13</f>
        <v>0.8851462230992746</v>
      </c>
      <c r="P14" s="164">
        <f t="shared" si="1"/>
        <v>9.2729856852293117E-3</v>
      </c>
      <c r="Q14" s="164">
        <f t="shared" si="4"/>
        <v>1.314167781440418E-2</v>
      </c>
      <c r="R14" s="164">
        <f t="shared" si="9"/>
        <v>1.5714328508504443E-2</v>
      </c>
      <c r="S14" s="156">
        <f t="shared" ref="S14:S59" si="14">P14*$E14</f>
        <v>0.46364928426146557</v>
      </c>
      <c r="T14" s="156">
        <f t="shared" si="2"/>
        <v>0.87611185429361194</v>
      </c>
      <c r="U14" s="165">
        <f t="shared" si="5"/>
        <v>1.1785746381378333</v>
      </c>
      <c r="W14" s="154">
        <f t="shared" si="0"/>
        <v>0.94082209960187191</v>
      </c>
    </row>
    <row r="15" spans="1:27" x14ac:dyDescent="0.25">
      <c r="A15" s="163"/>
      <c r="B15" s="163"/>
      <c r="C15" s="440"/>
      <c r="D15" s="147" t="s">
        <v>182</v>
      </c>
      <c r="E15" s="166">
        <f t="shared" ref="E15:E59" si="15">IF(E14&gt;0.1,-100/($D$2-3)+E14,0)</f>
        <v>0</v>
      </c>
      <c r="F15" s="167">
        <f t="shared" ref="F15:F59" si="16">IF(F14&gt;0.1,-100/($D$2-2)+F14,0)</f>
        <v>33.333333333333321</v>
      </c>
      <c r="G15" s="168">
        <f t="shared" ref="G15:G59" si="17">IF(G14&gt;0.1,-100/($D$2-1)+G14,0)</f>
        <v>50</v>
      </c>
      <c r="H15" s="147">
        <f t="shared" si="6"/>
        <v>5.9177900398128098E-2</v>
      </c>
      <c r="I15" s="164">
        <f t="shared" si="7"/>
        <v>0.4</v>
      </c>
      <c r="J15" s="164">
        <f t="shared" si="10"/>
        <v>0</v>
      </c>
      <c r="K15" s="164">
        <f t="shared" si="11"/>
        <v>0.13333333333333328</v>
      </c>
      <c r="L15" s="164">
        <f t="shared" si="12"/>
        <v>0.2</v>
      </c>
      <c r="M15" s="164">
        <f t="shared" si="3"/>
        <v>0.73711890784076428</v>
      </c>
      <c r="N15" s="164">
        <f t="shared" si="8"/>
        <v>0.78348383626691087</v>
      </c>
      <c r="O15" s="164">
        <f t="shared" si="13"/>
        <v>0.83276512807092651</v>
      </c>
      <c r="P15" s="164">
        <f t="shared" si="1"/>
        <v>0</v>
      </c>
      <c r="Q15" s="164">
        <f t="shared" si="4"/>
        <v>6.181990456819538E-3</v>
      </c>
      <c r="R15" s="164">
        <f t="shared" si="9"/>
        <v>9.8562583608031371E-3</v>
      </c>
      <c r="S15" s="156">
        <f t="shared" si="14"/>
        <v>0</v>
      </c>
      <c r="T15" s="156">
        <f t="shared" si="2"/>
        <v>0.2060663485606512</v>
      </c>
      <c r="U15" s="165">
        <f t="shared" si="5"/>
        <v>0.49281291804015687</v>
      </c>
      <c r="W15" s="154">
        <f t="shared" si="0"/>
        <v>0.94082209960187191</v>
      </c>
    </row>
    <row r="16" spans="1:27" x14ac:dyDescent="0.25">
      <c r="A16" s="163"/>
      <c r="B16" s="163"/>
      <c r="C16" s="440"/>
      <c r="D16" s="147" t="s">
        <v>183</v>
      </c>
      <c r="E16" s="166">
        <f t="shared" si="15"/>
        <v>0</v>
      </c>
      <c r="F16" s="167">
        <f t="shared" si="16"/>
        <v>-1.4210854715202004E-14</v>
      </c>
      <c r="G16" s="168">
        <f t="shared" si="17"/>
        <v>25</v>
      </c>
      <c r="H16" s="147">
        <f t="shared" si="6"/>
        <v>5.9177900398128098E-2</v>
      </c>
      <c r="I16" s="164">
        <f t="shared" si="7"/>
        <v>0.4</v>
      </c>
      <c r="J16" s="164">
        <f t="shared" si="10"/>
        <v>0</v>
      </c>
      <c r="K16" s="164">
        <f t="shared" si="11"/>
        <v>-5.6843418860808016E-17</v>
      </c>
      <c r="L16" s="164">
        <f t="shared" si="12"/>
        <v>0.1</v>
      </c>
      <c r="M16" s="164">
        <f t="shared" si="3"/>
        <v>0.69349775853098661</v>
      </c>
      <c r="N16" s="164">
        <f t="shared" si="8"/>
        <v>0.73711890784076428</v>
      </c>
      <c r="O16" s="164">
        <f t="shared" si="13"/>
        <v>0.78348383626691087</v>
      </c>
      <c r="P16" s="164">
        <f t="shared" si="1"/>
        <v>0</v>
      </c>
      <c r="Q16" s="164">
        <f t="shared" si="4"/>
        <v>-2.4795752614055409E-18</v>
      </c>
      <c r="R16" s="164">
        <f t="shared" si="9"/>
        <v>4.6364928426146559E-3</v>
      </c>
      <c r="S16" s="156">
        <f t="shared" si="14"/>
        <v>0</v>
      </c>
      <c r="T16" s="156">
        <f t="shared" si="2"/>
        <v>3.5236883795243172E-32</v>
      </c>
      <c r="U16" s="165">
        <f t="shared" si="5"/>
        <v>0.11591232106536639</v>
      </c>
      <c r="W16" s="154">
        <f t="shared" si="0"/>
        <v>0.94082209960187191</v>
      </c>
    </row>
    <row r="17" spans="1:27" x14ac:dyDescent="0.25">
      <c r="A17" s="163"/>
      <c r="B17" s="163"/>
      <c r="C17" s="440"/>
      <c r="D17" s="147" t="s">
        <v>184</v>
      </c>
      <c r="E17" s="166">
        <f t="shared" si="15"/>
        <v>0</v>
      </c>
      <c r="F17" s="167">
        <f t="shared" si="16"/>
        <v>0</v>
      </c>
      <c r="G17" s="168">
        <f t="shared" si="17"/>
        <v>0</v>
      </c>
      <c r="H17" s="147">
        <f t="shared" si="6"/>
        <v>5.9177900398128098E-2</v>
      </c>
      <c r="I17" s="164">
        <f t="shared" si="7"/>
        <v>0.4</v>
      </c>
      <c r="J17" s="164">
        <f t="shared" si="10"/>
        <v>0</v>
      </c>
      <c r="K17" s="164">
        <f t="shared" si="11"/>
        <v>0</v>
      </c>
      <c r="L17" s="164">
        <f t="shared" si="12"/>
        <v>0</v>
      </c>
      <c r="M17" s="164">
        <f t="shared" si="3"/>
        <v>0.65245801725031483</v>
      </c>
      <c r="N17" s="164">
        <f t="shared" si="8"/>
        <v>0.69349775853098661</v>
      </c>
      <c r="O17" s="164">
        <f t="shared" si="13"/>
        <v>0.73711890784076428</v>
      </c>
      <c r="P17" s="164">
        <f t="shared" si="1"/>
        <v>0</v>
      </c>
      <c r="Q17" s="164">
        <f t="shared" si="4"/>
        <v>0</v>
      </c>
      <c r="R17" s="164">
        <f t="shared" si="9"/>
        <v>0</v>
      </c>
      <c r="S17" s="156">
        <f t="shared" si="14"/>
        <v>0</v>
      </c>
      <c r="T17" s="156">
        <f t="shared" si="2"/>
        <v>0</v>
      </c>
      <c r="U17" s="165">
        <f t="shared" si="5"/>
        <v>0</v>
      </c>
      <c r="W17" s="154">
        <f t="shared" si="0"/>
        <v>0.94082209960187191</v>
      </c>
    </row>
    <row r="18" spans="1:27" x14ac:dyDescent="0.25">
      <c r="A18" s="163"/>
      <c r="B18" s="163"/>
      <c r="C18" s="428"/>
      <c r="D18" s="157" t="s">
        <v>185</v>
      </c>
      <c r="E18" s="169">
        <f t="shared" si="15"/>
        <v>0</v>
      </c>
      <c r="F18" s="170">
        <f t="shared" si="16"/>
        <v>0</v>
      </c>
      <c r="G18" s="171">
        <f t="shared" si="17"/>
        <v>0</v>
      </c>
      <c r="H18" s="157">
        <f t="shared" si="6"/>
        <v>5.9177900398128098E-2</v>
      </c>
      <c r="I18" s="172">
        <f t="shared" si="7"/>
        <v>0.4</v>
      </c>
      <c r="J18" s="157">
        <f t="shared" si="10"/>
        <v>0</v>
      </c>
      <c r="K18" s="172">
        <f t="shared" si="11"/>
        <v>0</v>
      </c>
      <c r="L18" s="172">
        <f t="shared" si="12"/>
        <v>0</v>
      </c>
      <c r="M18" s="172">
        <f t="shared" si="3"/>
        <v>0.61384692169151556</v>
      </c>
      <c r="N18" s="172">
        <f t="shared" si="8"/>
        <v>0.65245801725031483</v>
      </c>
      <c r="O18" s="172">
        <f t="shared" si="13"/>
        <v>0.69349775853098661</v>
      </c>
      <c r="P18" s="172">
        <f t="shared" si="1"/>
        <v>0</v>
      </c>
      <c r="Q18" s="172">
        <f t="shared" si="4"/>
        <v>0</v>
      </c>
      <c r="R18" s="172">
        <f t="shared" si="9"/>
        <v>0</v>
      </c>
      <c r="S18" s="173">
        <f t="shared" si="14"/>
        <v>0</v>
      </c>
      <c r="T18" s="173">
        <f t="shared" si="2"/>
        <v>0</v>
      </c>
      <c r="U18" s="174">
        <f t="shared" si="5"/>
        <v>0</v>
      </c>
      <c r="W18" s="154">
        <f t="shared" si="0"/>
        <v>0.94082209960187191</v>
      </c>
    </row>
    <row r="19" spans="1:27" x14ac:dyDescent="0.25">
      <c r="A19" s="163"/>
      <c r="B19" s="163"/>
      <c r="C19" s="437" t="s">
        <v>186</v>
      </c>
      <c r="D19" s="147" t="s">
        <v>187</v>
      </c>
      <c r="E19" s="166">
        <f t="shared" si="15"/>
        <v>0</v>
      </c>
      <c r="F19" s="167">
        <f t="shared" si="16"/>
        <v>0</v>
      </c>
      <c r="G19" s="168">
        <f t="shared" si="17"/>
        <v>0</v>
      </c>
      <c r="H19" s="175">
        <f>'Processor LT base (sov) S12'!J4</f>
        <v>5.9177900398128098E-2</v>
      </c>
      <c r="I19" s="176">
        <f>'Processor LT base (sov) S12'!K4</f>
        <v>0.4</v>
      </c>
      <c r="J19" s="164">
        <f t="shared" si="10"/>
        <v>0</v>
      </c>
      <c r="K19" s="177">
        <f t="shared" si="11"/>
        <v>0</v>
      </c>
      <c r="L19" s="177">
        <f t="shared" si="12"/>
        <v>0</v>
      </c>
      <c r="M19" s="178">
        <f t="shared" si="3"/>
        <v>0.57752074969995748</v>
      </c>
      <c r="N19" s="178">
        <f t="shared" si="8"/>
        <v>0.61384692169151556</v>
      </c>
      <c r="O19" s="178">
        <f t="shared" si="13"/>
        <v>0.65245801725031483</v>
      </c>
      <c r="P19" s="178">
        <f t="shared" si="1"/>
        <v>0</v>
      </c>
      <c r="Q19" s="178">
        <f t="shared" si="4"/>
        <v>0</v>
      </c>
      <c r="R19" s="178">
        <f t="shared" si="9"/>
        <v>0</v>
      </c>
      <c r="S19" s="156">
        <f t="shared" si="14"/>
        <v>0</v>
      </c>
      <c r="T19" s="156">
        <f t="shared" si="2"/>
        <v>0</v>
      </c>
      <c r="U19" s="165">
        <f t="shared" si="5"/>
        <v>0</v>
      </c>
      <c r="W19" s="154">
        <f t="shared" si="0"/>
        <v>0.94082209960187191</v>
      </c>
    </row>
    <row r="20" spans="1:27" x14ac:dyDescent="0.25">
      <c r="A20" s="163"/>
      <c r="B20" s="163"/>
      <c r="C20" s="438"/>
      <c r="D20" s="147" t="s">
        <v>188</v>
      </c>
      <c r="E20" s="166">
        <f t="shared" si="15"/>
        <v>0</v>
      </c>
      <c r="F20" s="167">
        <f t="shared" si="16"/>
        <v>0</v>
      </c>
      <c r="G20" s="168">
        <f t="shared" si="17"/>
        <v>0</v>
      </c>
      <c r="H20" s="147">
        <f>H19</f>
        <v>5.9177900398128098E-2</v>
      </c>
      <c r="I20" s="164">
        <f>I19</f>
        <v>0.4</v>
      </c>
      <c r="J20" s="164">
        <f t="shared" si="10"/>
        <v>0</v>
      </c>
      <c r="K20" s="164">
        <f t="shared" si="11"/>
        <v>0</v>
      </c>
      <c r="L20" s="164">
        <f t="shared" si="12"/>
        <v>0</v>
      </c>
      <c r="M20" s="164">
        <f t="shared" si="3"/>
        <v>0.54334428429636117</v>
      </c>
      <c r="N20" s="164">
        <f t="shared" si="8"/>
        <v>0.57752074969995748</v>
      </c>
      <c r="O20" s="164">
        <f t="shared" si="13"/>
        <v>0.61384692169151556</v>
      </c>
      <c r="P20" s="164">
        <f t="shared" si="1"/>
        <v>0</v>
      </c>
      <c r="Q20" s="164">
        <f t="shared" si="4"/>
        <v>0</v>
      </c>
      <c r="R20" s="164">
        <f t="shared" si="9"/>
        <v>0</v>
      </c>
      <c r="S20" s="156">
        <f t="shared" si="14"/>
        <v>0</v>
      </c>
      <c r="T20" s="156">
        <f t="shared" si="2"/>
        <v>0</v>
      </c>
      <c r="U20" s="165">
        <f t="shared" si="5"/>
        <v>0</v>
      </c>
      <c r="W20" s="154">
        <f t="shared" si="0"/>
        <v>0.94082209960187191</v>
      </c>
    </row>
    <row r="21" spans="1:27" x14ac:dyDescent="0.25">
      <c r="A21" s="163"/>
      <c r="B21" s="163"/>
      <c r="C21" s="438"/>
      <c r="D21" s="147" t="s">
        <v>189</v>
      </c>
      <c r="E21" s="166">
        <f t="shared" si="15"/>
        <v>0</v>
      </c>
      <c r="F21" s="167">
        <f t="shared" si="16"/>
        <v>0</v>
      </c>
      <c r="G21" s="168">
        <f t="shared" si="17"/>
        <v>0</v>
      </c>
      <c r="H21" s="147">
        <f t="shared" ref="H21:I36" si="18">H20</f>
        <v>5.9177900398128098E-2</v>
      </c>
      <c r="I21" s="164">
        <f t="shared" si="18"/>
        <v>0.4</v>
      </c>
      <c r="J21" s="164">
        <f t="shared" si="10"/>
        <v>0</v>
      </c>
      <c r="K21" s="164">
        <f t="shared" si="11"/>
        <v>0</v>
      </c>
      <c r="L21" s="164">
        <f t="shared" si="12"/>
        <v>0</v>
      </c>
      <c r="M21" s="164">
        <f t="shared" si="3"/>
        <v>0.51119031035837892</v>
      </c>
      <c r="N21" s="164">
        <f t="shared" si="8"/>
        <v>0.54334428429636117</v>
      </c>
      <c r="O21" s="164">
        <f t="shared" si="13"/>
        <v>0.57752074969995748</v>
      </c>
      <c r="P21" s="147">
        <f t="shared" si="1"/>
        <v>0</v>
      </c>
      <c r="Q21" s="164">
        <f t="shared" si="4"/>
        <v>0</v>
      </c>
      <c r="R21" s="164">
        <f t="shared" si="9"/>
        <v>0</v>
      </c>
      <c r="S21" s="156">
        <f t="shared" si="14"/>
        <v>0</v>
      </c>
      <c r="T21" s="156">
        <f t="shared" si="2"/>
        <v>0</v>
      </c>
      <c r="U21" s="165">
        <f t="shared" si="5"/>
        <v>0</v>
      </c>
      <c r="V21" s="114"/>
      <c r="W21" s="154">
        <f t="shared" si="0"/>
        <v>0.94082209960187191</v>
      </c>
      <c r="Z21" s="179"/>
      <c r="AA21" s="179"/>
    </row>
    <row r="22" spans="1:27" x14ac:dyDescent="0.25">
      <c r="A22" s="163"/>
      <c r="B22" s="163"/>
      <c r="C22" s="438"/>
      <c r="D22" s="147" t="s">
        <v>190</v>
      </c>
      <c r="E22" s="166">
        <f t="shared" si="15"/>
        <v>0</v>
      </c>
      <c r="F22" s="167">
        <f t="shared" si="16"/>
        <v>0</v>
      </c>
      <c r="G22" s="168">
        <f t="shared" si="17"/>
        <v>0</v>
      </c>
      <c r="H22" s="147">
        <f t="shared" si="18"/>
        <v>5.9177900398128098E-2</v>
      </c>
      <c r="I22" s="164">
        <f t="shared" si="18"/>
        <v>0.4</v>
      </c>
      <c r="J22" s="164">
        <f t="shared" si="10"/>
        <v>0</v>
      </c>
      <c r="K22" s="147">
        <f t="shared" si="11"/>
        <v>0</v>
      </c>
      <c r="L22" s="164">
        <f t="shared" si="12"/>
        <v>0</v>
      </c>
      <c r="M22" s="164">
        <f t="shared" si="3"/>
        <v>0.48093914108750258</v>
      </c>
      <c r="N22" s="164">
        <f t="shared" si="8"/>
        <v>0.51119031035837892</v>
      </c>
      <c r="O22" s="164">
        <f t="shared" si="13"/>
        <v>0.54334428429636117</v>
      </c>
      <c r="P22" s="147">
        <f t="shared" si="1"/>
        <v>0</v>
      </c>
      <c r="Q22" s="147">
        <f t="shared" si="4"/>
        <v>0</v>
      </c>
      <c r="R22" s="164">
        <f t="shared" si="9"/>
        <v>0</v>
      </c>
      <c r="S22" s="156">
        <f t="shared" si="14"/>
        <v>0</v>
      </c>
      <c r="T22" s="156">
        <f t="shared" si="2"/>
        <v>0</v>
      </c>
      <c r="U22" s="165">
        <f t="shared" si="5"/>
        <v>0</v>
      </c>
      <c r="V22" s="114"/>
      <c r="W22" s="154">
        <f t="shared" si="0"/>
        <v>0.94082209960187191</v>
      </c>
      <c r="Z22" s="179"/>
      <c r="AA22" s="179"/>
    </row>
    <row r="23" spans="1:27" x14ac:dyDescent="0.25">
      <c r="A23" s="163"/>
      <c r="B23" s="163"/>
      <c r="C23" s="438"/>
      <c r="D23" s="147" t="s">
        <v>191</v>
      </c>
      <c r="E23" s="166">
        <f t="shared" si="15"/>
        <v>0</v>
      </c>
      <c r="F23" s="167">
        <f t="shared" si="16"/>
        <v>0</v>
      </c>
      <c r="G23" s="168">
        <f t="shared" si="17"/>
        <v>0</v>
      </c>
      <c r="H23" s="147">
        <f t="shared" si="18"/>
        <v>5.9177900398128098E-2</v>
      </c>
      <c r="I23" s="164">
        <f t="shared" si="18"/>
        <v>0.4</v>
      </c>
      <c r="J23" s="164">
        <f t="shared" si="10"/>
        <v>0</v>
      </c>
      <c r="K23" s="147">
        <f t="shared" si="11"/>
        <v>0</v>
      </c>
      <c r="L23" s="147">
        <f t="shared" si="12"/>
        <v>0</v>
      </c>
      <c r="M23" s="147">
        <f t="shared" si="3"/>
        <v>0.45247817249866507</v>
      </c>
      <c r="N23" s="147">
        <f t="shared" si="8"/>
        <v>0.48093914108750258</v>
      </c>
      <c r="O23" s="164">
        <f t="shared" si="13"/>
        <v>0.51119031035837892</v>
      </c>
      <c r="P23" s="147">
        <f t="shared" si="1"/>
        <v>0</v>
      </c>
      <c r="Q23" s="147">
        <f t="shared" si="4"/>
        <v>0</v>
      </c>
      <c r="R23" s="147">
        <f t="shared" si="9"/>
        <v>0</v>
      </c>
      <c r="S23" s="156">
        <f t="shared" si="14"/>
        <v>0</v>
      </c>
      <c r="T23" s="156">
        <f t="shared" si="2"/>
        <v>0</v>
      </c>
      <c r="U23" s="165">
        <f>R23*$G23</f>
        <v>0</v>
      </c>
      <c r="V23" s="114"/>
      <c r="W23" s="154">
        <f t="shared" si="0"/>
        <v>0.94082209960187191</v>
      </c>
      <c r="Z23" s="179"/>
      <c r="AA23" s="179"/>
    </row>
    <row r="24" spans="1:27" x14ac:dyDescent="0.25">
      <c r="A24" s="163"/>
      <c r="B24" s="163"/>
      <c r="C24" s="438"/>
      <c r="D24" s="147" t="s">
        <v>192</v>
      </c>
      <c r="E24" s="166">
        <f t="shared" si="15"/>
        <v>0</v>
      </c>
      <c r="F24" s="167">
        <f t="shared" si="16"/>
        <v>0</v>
      </c>
      <c r="G24" s="168">
        <f t="shared" si="17"/>
        <v>0</v>
      </c>
      <c r="H24" s="147">
        <f t="shared" si="18"/>
        <v>5.9177900398128098E-2</v>
      </c>
      <c r="I24" s="164">
        <f t="shared" si="18"/>
        <v>0.4</v>
      </c>
      <c r="J24" s="164">
        <f t="shared" si="10"/>
        <v>0</v>
      </c>
      <c r="K24" s="147">
        <f t="shared" si="11"/>
        <v>0</v>
      </c>
      <c r="L24" s="147">
        <f t="shared" si="12"/>
        <v>0</v>
      </c>
      <c r="M24" s="147">
        <f t="shared" si="3"/>
        <v>0.42570146427421202</v>
      </c>
      <c r="N24" s="147">
        <f t="shared" si="8"/>
        <v>0.45247817249866507</v>
      </c>
      <c r="O24" s="164">
        <f t="shared" si="13"/>
        <v>0.48093914108750258</v>
      </c>
      <c r="P24" s="147">
        <f t="shared" si="1"/>
        <v>0</v>
      </c>
      <c r="Q24" s="147">
        <f t="shared" si="4"/>
        <v>0</v>
      </c>
      <c r="R24" s="147">
        <f t="shared" si="9"/>
        <v>0</v>
      </c>
      <c r="S24" s="156">
        <f t="shared" si="14"/>
        <v>0</v>
      </c>
      <c r="T24" s="156">
        <f t="shared" si="2"/>
        <v>0</v>
      </c>
      <c r="U24" s="165">
        <f t="shared" ref="U24:U59" si="19">R24*$G24</f>
        <v>0</v>
      </c>
      <c r="V24" s="114"/>
      <c r="W24" s="154">
        <f t="shared" si="0"/>
        <v>0.94082209960187191</v>
      </c>
      <c r="X24" s="180"/>
      <c r="Z24" s="131"/>
      <c r="AA24" s="131"/>
    </row>
    <row r="25" spans="1:27" x14ac:dyDescent="0.25">
      <c r="A25" s="163"/>
      <c r="B25" s="163"/>
      <c r="C25" s="438"/>
      <c r="D25" s="147" t="s">
        <v>193</v>
      </c>
      <c r="E25" s="166">
        <f t="shared" si="15"/>
        <v>0</v>
      </c>
      <c r="F25" s="167">
        <f t="shared" si="16"/>
        <v>0</v>
      </c>
      <c r="G25" s="168">
        <f t="shared" si="17"/>
        <v>0</v>
      </c>
      <c r="H25" s="147">
        <f t="shared" si="18"/>
        <v>5.9177900398128098E-2</v>
      </c>
      <c r="I25" s="164">
        <f t="shared" si="18"/>
        <v>0.4</v>
      </c>
      <c r="J25" s="164">
        <f t="shared" si="10"/>
        <v>0</v>
      </c>
      <c r="K25" s="147">
        <f t="shared" si="11"/>
        <v>0</v>
      </c>
      <c r="L25" s="147">
        <f t="shared" si="12"/>
        <v>0</v>
      </c>
      <c r="M25" s="147">
        <f t="shared" si="3"/>
        <v>0.40050934542205541</v>
      </c>
      <c r="N25" s="147">
        <f t="shared" si="8"/>
        <v>0.42570146427421202</v>
      </c>
      <c r="O25" s="164">
        <f t="shared" si="13"/>
        <v>0.45247817249866507</v>
      </c>
      <c r="P25" s="147">
        <f t="shared" si="1"/>
        <v>0</v>
      </c>
      <c r="Q25" s="147">
        <f t="shared" si="4"/>
        <v>0</v>
      </c>
      <c r="R25" s="147">
        <f t="shared" si="9"/>
        <v>0</v>
      </c>
      <c r="S25" s="156">
        <f t="shared" si="14"/>
        <v>0</v>
      </c>
      <c r="T25" s="156">
        <f t="shared" si="2"/>
        <v>0</v>
      </c>
      <c r="U25" s="165">
        <f t="shared" si="19"/>
        <v>0</v>
      </c>
      <c r="V25" s="114"/>
      <c r="W25" s="154">
        <f t="shared" si="0"/>
        <v>0.94082209960187191</v>
      </c>
      <c r="Z25" s="181"/>
      <c r="AA25" s="179"/>
    </row>
    <row r="26" spans="1:27" x14ac:dyDescent="0.25">
      <c r="A26" s="163"/>
      <c r="B26" s="163"/>
      <c r="C26" s="438"/>
      <c r="D26" s="147" t="s">
        <v>194</v>
      </c>
      <c r="E26" s="166">
        <f t="shared" si="15"/>
        <v>0</v>
      </c>
      <c r="F26" s="167">
        <f t="shared" si="16"/>
        <v>0</v>
      </c>
      <c r="G26" s="168">
        <f t="shared" si="17"/>
        <v>0</v>
      </c>
      <c r="H26" s="147">
        <f t="shared" si="18"/>
        <v>5.9177900398128098E-2</v>
      </c>
      <c r="I26" s="164">
        <f t="shared" si="18"/>
        <v>0.4</v>
      </c>
      <c r="J26" s="164">
        <f t="shared" si="10"/>
        <v>0</v>
      </c>
      <c r="K26" s="147">
        <f t="shared" si="11"/>
        <v>0</v>
      </c>
      <c r="L26" s="147">
        <f t="shared" si="12"/>
        <v>0</v>
      </c>
      <c r="M26" s="147">
        <f t="shared" si="3"/>
        <v>0.37680804327014955</v>
      </c>
      <c r="N26" s="147">
        <f t="shared" si="8"/>
        <v>0.40050934542205541</v>
      </c>
      <c r="O26" s="164">
        <f t="shared" si="13"/>
        <v>0.42570146427421202</v>
      </c>
      <c r="P26" s="147">
        <f t="shared" si="1"/>
        <v>0</v>
      </c>
      <c r="Q26" s="147">
        <f t="shared" si="4"/>
        <v>0</v>
      </c>
      <c r="R26" s="147">
        <f t="shared" si="9"/>
        <v>0</v>
      </c>
      <c r="S26" s="156">
        <f t="shared" si="14"/>
        <v>0</v>
      </c>
      <c r="T26" s="156">
        <f t="shared" si="2"/>
        <v>0</v>
      </c>
      <c r="U26" s="165">
        <f t="shared" si="19"/>
        <v>0</v>
      </c>
      <c r="V26" s="114"/>
      <c r="W26" s="154">
        <f t="shared" si="0"/>
        <v>0.94082209960187191</v>
      </c>
      <c r="Y26" s="181"/>
      <c r="Z26" s="181"/>
      <c r="AA26" s="179"/>
    </row>
    <row r="27" spans="1:27" x14ac:dyDescent="0.25">
      <c r="A27" s="163"/>
      <c r="B27" s="163"/>
      <c r="C27" s="438"/>
      <c r="D27" s="147" t="s">
        <v>195</v>
      </c>
      <c r="E27" s="166">
        <f t="shared" si="15"/>
        <v>0</v>
      </c>
      <c r="F27" s="167">
        <f t="shared" si="16"/>
        <v>0</v>
      </c>
      <c r="G27" s="168">
        <f t="shared" si="17"/>
        <v>0</v>
      </c>
      <c r="H27" s="147">
        <f t="shared" si="18"/>
        <v>5.9177900398128098E-2</v>
      </c>
      <c r="I27" s="164">
        <f t="shared" si="18"/>
        <v>0.4</v>
      </c>
      <c r="J27" s="164">
        <f t="shared" si="10"/>
        <v>0</v>
      </c>
      <c r="K27" s="147">
        <f t="shared" si="11"/>
        <v>0</v>
      </c>
      <c r="L27" s="147">
        <f t="shared" si="12"/>
        <v>0</v>
      </c>
      <c r="M27" s="147">
        <f t="shared" si="3"/>
        <v>0.35450933441629512</v>
      </c>
      <c r="N27" s="147">
        <f t="shared" si="8"/>
        <v>0.37680804327014955</v>
      </c>
      <c r="O27" s="164">
        <f t="shared" si="13"/>
        <v>0.40050934542205541</v>
      </c>
      <c r="P27" s="147">
        <f t="shared" si="1"/>
        <v>0</v>
      </c>
      <c r="Q27" s="147">
        <f t="shared" si="4"/>
        <v>0</v>
      </c>
      <c r="R27" s="147">
        <f t="shared" si="9"/>
        <v>0</v>
      </c>
      <c r="S27" s="156">
        <f t="shared" si="14"/>
        <v>0</v>
      </c>
      <c r="T27" s="156">
        <f t="shared" si="2"/>
        <v>0</v>
      </c>
      <c r="U27" s="165">
        <f t="shared" si="19"/>
        <v>0</v>
      </c>
      <c r="V27" s="114"/>
      <c r="W27" s="154">
        <f t="shared" si="0"/>
        <v>0.94082209960187191</v>
      </c>
      <c r="Y27" s="181"/>
      <c r="Z27" s="181"/>
      <c r="AA27" s="179"/>
    </row>
    <row r="28" spans="1:27" x14ac:dyDescent="0.25">
      <c r="A28" s="163"/>
      <c r="B28" s="163"/>
      <c r="C28" s="438"/>
      <c r="D28" s="147" t="s">
        <v>196</v>
      </c>
      <c r="E28" s="166">
        <f t="shared" si="15"/>
        <v>0</v>
      </c>
      <c r="F28" s="167">
        <f t="shared" si="16"/>
        <v>0</v>
      </c>
      <c r="G28" s="168">
        <f t="shared" si="17"/>
        <v>0</v>
      </c>
      <c r="H28" s="147">
        <f t="shared" si="18"/>
        <v>5.9177900398128098E-2</v>
      </c>
      <c r="I28" s="164">
        <f t="shared" si="18"/>
        <v>0.4</v>
      </c>
      <c r="J28" s="164">
        <f t="shared" si="10"/>
        <v>0</v>
      </c>
      <c r="K28" s="147">
        <f t="shared" si="11"/>
        <v>0</v>
      </c>
      <c r="L28" s="147">
        <f t="shared" si="12"/>
        <v>0</v>
      </c>
      <c r="M28" s="147">
        <f t="shared" si="3"/>
        <v>0.33353021633400093</v>
      </c>
      <c r="N28" s="147">
        <f t="shared" si="8"/>
        <v>0.35450933441629512</v>
      </c>
      <c r="O28" s="164">
        <f t="shared" si="13"/>
        <v>0.37680804327014955</v>
      </c>
      <c r="P28" s="147">
        <f t="shared" si="1"/>
        <v>0</v>
      </c>
      <c r="Q28" s="147">
        <f t="shared" si="4"/>
        <v>0</v>
      </c>
      <c r="R28" s="147">
        <f t="shared" si="9"/>
        <v>0</v>
      </c>
      <c r="S28" s="156">
        <f t="shared" si="14"/>
        <v>0</v>
      </c>
      <c r="T28" s="156">
        <f t="shared" si="2"/>
        <v>0</v>
      </c>
      <c r="U28" s="165">
        <f t="shared" si="19"/>
        <v>0</v>
      </c>
      <c r="V28" s="114"/>
      <c r="W28" s="154">
        <f t="shared" si="0"/>
        <v>0.94082209960187191</v>
      </c>
      <c r="Y28" s="179"/>
      <c r="Z28" s="179"/>
      <c r="AA28" s="179"/>
    </row>
    <row r="29" spans="1:27" x14ac:dyDescent="0.25">
      <c r="A29" s="163"/>
      <c r="B29" s="163"/>
      <c r="C29" s="438"/>
      <c r="D29" s="147" t="s">
        <v>197</v>
      </c>
      <c r="E29" s="166">
        <f t="shared" si="15"/>
        <v>0</v>
      </c>
      <c r="F29" s="167">
        <f t="shared" si="16"/>
        <v>0</v>
      </c>
      <c r="G29" s="168">
        <f t="shared" si="17"/>
        <v>0</v>
      </c>
      <c r="H29" s="147">
        <f t="shared" si="18"/>
        <v>5.9177900398128098E-2</v>
      </c>
      <c r="I29" s="164">
        <f t="shared" si="18"/>
        <v>0.4</v>
      </c>
      <c r="J29" s="164">
        <f t="shared" si="10"/>
        <v>0</v>
      </c>
      <c r="K29" s="147">
        <f t="shared" si="11"/>
        <v>0</v>
      </c>
      <c r="L29" s="147">
        <f t="shared" si="12"/>
        <v>0</v>
      </c>
      <c r="M29" s="147">
        <f t="shared" si="3"/>
        <v>0.31379259841202128</v>
      </c>
      <c r="N29" s="147">
        <f t="shared" si="8"/>
        <v>0.33353021633400093</v>
      </c>
      <c r="O29" s="164">
        <f t="shared" si="13"/>
        <v>0.35450933441629512</v>
      </c>
      <c r="P29" s="147">
        <f t="shared" si="1"/>
        <v>0</v>
      </c>
      <c r="Q29" s="147">
        <f t="shared" si="4"/>
        <v>0</v>
      </c>
      <c r="R29" s="147">
        <f t="shared" si="9"/>
        <v>0</v>
      </c>
      <c r="S29" s="156">
        <f t="shared" si="14"/>
        <v>0</v>
      </c>
      <c r="T29" s="156">
        <f t="shared" si="2"/>
        <v>0</v>
      </c>
      <c r="U29" s="165">
        <f t="shared" si="19"/>
        <v>0</v>
      </c>
      <c r="V29" s="114"/>
      <c r="W29" s="154">
        <f t="shared" si="0"/>
        <v>0.94082209960187191</v>
      </c>
      <c r="Y29" s="179"/>
      <c r="Z29" s="179"/>
      <c r="AA29" s="179"/>
    </row>
    <row r="30" spans="1:27" x14ac:dyDescent="0.25">
      <c r="A30" s="163"/>
      <c r="B30" s="163"/>
      <c r="C30" s="438"/>
      <c r="D30" s="147" t="s">
        <v>198</v>
      </c>
      <c r="E30" s="166">
        <f t="shared" si="15"/>
        <v>0</v>
      </c>
      <c r="F30" s="167">
        <f t="shared" si="16"/>
        <v>0</v>
      </c>
      <c r="G30" s="168">
        <f t="shared" si="17"/>
        <v>0</v>
      </c>
      <c r="H30" s="147">
        <f t="shared" si="18"/>
        <v>5.9177900398128098E-2</v>
      </c>
      <c r="I30" s="164">
        <f t="shared" si="18"/>
        <v>0.4</v>
      </c>
      <c r="J30" s="164">
        <f t="shared" si="10"/>
        <v>0</v>
      </c>
      <c r="K30" s="147">
        <f t="shared" si="11"/>
        <v>0</v>
      </c>
      <c r="L30" s="147">
        <f t="shared" si="12"/>
        <v>0</v>
      </c>
      <c r="M30" s="147">
        <f t="shared" si="3"/>
        <v>0.29522301127752487</v>
      </c>
      <c r="N30" s="147">
        <f t="shared" si="8"/>
        <v>0.31379259841202128</v>
      </c>
      <c r="O30" s="164">
        <f t="shared" si="13"/>
        <v>0.33353021633400093</v>
      </c>
      <c r="P30" s="147">
        <f t="shared" si="1"/>
        <v>0</v>
      </c>
      <c r="Q30" s="147">
        <f t="shared" si="4"/>
        <v>0</v>
      </c>
      <c r="R30" s="147">
        <f t="shared" si="9"/>
        <v>0</v>
      </c>
      <c r="S30" s="156">
        <f t="shared" si="14"/>
        <v>0</v>
      </c>
      <c r="T30" s="156">
        <f t="shared" si="2"/>
        <v>0</v>
      </c>
      <c r="U30" s="165">
        <f t="shared" si="19"/>
        <v>0</v>
      </c>
      <c r="W30" s="154">
        <f t="shared" si="0"/>
        <v>0.94082209960187191</v>
      </c>
    </row>
    <row r="31" spans="1:27" x14ac:dyDescent="0.25">
      <c r="A31" s="163"/>
      <c r="B31" s="163"/>
      <c r="C31" s="438"/>
      <c r="D31" s="147" t="s">
        <v>199</v>
      </c>
      <c r="E31" s="166">
        <f t="shared" si="15"/>
        <v>0</v>
      </c>
      <c r="F31" s="167">
        <f t="shared" si="16"/>
        <v>0</v>
      </c>
      <c r="G31" s="168">
        <f t="shared" si="17"/>
        <v>0</v>
      </c>
      <c r="H31" s="147">
        <f t="shared" si="18"/>
        <v>5.9177900398128098E-2</v>
      </c>
      <c r="I31" s="164">
        <f t="shared" si="18"/>
        <v>0.4</v>
      </c>
      <c r="J31" s="164">
        <f t="shared" si="10"/>
        <v>0</v>
      </c>
      <c r="K31" s="147">
        <f t="shared" si="11"/>
        <v>0</v>
      </c>
      <c r="L31" s="147">
        <f t="shared" si="12"/>
        <v>0</v>
      </c>
      <c r="M31" s="147">
        <f t="shared" si="3"/>
        <v>0.27775233332090804</v>
      </c>
      <c r="N31" s="147">
        <f t="shared" si="8"/>
        <v>0.29522301127752487</v>
      </c>
      <c r="O31" s="164">
        <f t="shared" si="13"/>
        <v>0.31379259841202128</v>
      </c>
      <c r="P31" s="147">
        <f t="shared" si="1"/>
        <v>0</v>
      </c>
      <c r="Q31" s="147">
        <f t="shared" si="4"/>
        <v>0</v>
      </c>
      <c r="R31" s="147">
        <f t="shared" si="9"/>
        <v>0</v>
      </c>
      <c r="S31" s="156">
        <f t="shared" si="14"/>
        <v>0</v>
      </c>
      <c r="T31" s="156">
        <f t="shared" si="2"/>
        <v>0</v>
      </c>
      <c r="U31" s="165">
        <f t="shared" si="19"/>
        <v>0</v>
      </c>
      <c r="W31" s="154">
        <f t="shared" si="0"/>
        <v>0.94082209960187191</v>
      </c>
    </row>
    <row r="32" spans="1:27" x14ac:dyDescent="0.25">
      <c r="A32" s="163"/>
      <c r="B32" s="163"/>
      <c r="C32" s="438"/>
      <c r="D32" s="147" t="s">
        <v>200</v>
      </c>
      <c r="E32" s="166">
        <f t="shared" si="15"/>
        <v>0</v>
      </c>
      <c r="F32" s="167">
        <f t="shared" si="16"/>
        <v>0</v>
      </c>
      <c r="G32" s="168">
        <f t="shared" si="17"/>
        <v>0</v>
      </c>
      <c r="H32" s="147">
        <f t="shared" si="18"/>
        <v>5.9177900398128098E-2</v>
      </c>
      <c r="I32" s="164">
        <f t="shared" si="18"/>
        <v>0.4</v>
      </c>
      <c r="J32" s="164">
        <f t="shared" si="10"/>
        <v>0</v>
      </c>
      <c r="K32" s="147">
        <f t="shared" si="11"/>
        <v>0</v>
      </c>
      <c r="L32" s="147">
        <f t="shared" si="12"/>
        <v>0</v>
      </c>
      <c r="M32" s="147">
        <f t="shared" si="3"/>
        <v>0.2613155334042957</v>
      </c>
      <c r="N32" s="147">
        <f t="shared" si="8"/>
        <v>0.27775233332090804</v>
      </c>
      <c r="O32" s="164">
        <f t="shared" si="13"/>
        <v>0.29522301127752487</v>
      </c>
      <c r="P32" s="147">
        <f t="shared" si="1"/>
        <v>0</v>
      </c>
      <c r="Q32" s="147">
        <f t="shared" si="4"/>
        <v>0</v>
      </c>
      <c r="R32" s="147">
        <f t="shared" si="9"/>
        <v>0</v>
      </c>
      <c r="S32" s="156">
        <f t="shared" si="14"/>
        <v>0</v>
      </c>
      <c r="T32" s="156">
        <f t="shared" si="2"/>
        <v>0</v>
      </c>
      <c r="U32" s="165">
        <f t="shared" si="19"/>
        <v>0</v>
      </c>
      <c r="W32" s="154">
        <f t="shared" si="0"/>
        <v>0.94082209960187191</v>
      </c>
    </row>
    <row r="33" spans="1:23" x14ac:dyDescent="0.25">
      <c r="A33" s="163"/>
      <c r="B33" s="163"/>
      <c r="C33" s="438"/>
      <c r="D33" s="147" t="s">
        <v>201</v>
      </c>
      <c r="E33" s="166">
        <f t="shared" si="15"/>
        <v>0</v>
      </c>
      <c r="F33" s="167">
        <f t="shared" si="16"/>
        <v>0</v>
      </c>
      <c r="G33" s="168">
        <f t="shared" si="17"/>
        <v>0</v>
      </c>
      <c r="H33" s="147">
        <f t="shared" si="18"/>
        <v>5.9177900398128098E-2</v>
      </c>
      <c r="I33" s="164">
        <f t="shared" si="18"/>
        <v>0.4</v>
      </c>
      <c r="J33" s="164">
        <f t="shared" si="10"/>
        <v>0</v>
      </c>
      <c r="K33" s="147">
        <f t="shared" si="11"/>
        <v>0</v>
      </c>
      <c r="L33" s="147">
        <f t="shared" si="12"/>
        <v>0</v>
      </c>
      <c r="M33" s="147">
        <f t="shared" si="3"/>
        <v>0.24585142879601257</v>
      </c>
      <c r="N33" s="147">
        <f t="shared" si="8"/>
        <v>0.2613155334042957</v>
      </c>
      <c r="O33" s="164">
        <f t="shared" si="13"/>
        <v>0.27775233332090804</v>
      </c>
      <c r="P33" s="147">
        <f t="shared" si="1"/>
        <v>0</v>
      </c>
      <c r="Q33" s="147">
        <f t="shared" si="4"/>
        <v>0</v>
      </c>
      <c r="R33" s="147">
        <f t="shared" si="9"/>
        <v>0</v>
      </c>
      <c r="S33" s="156">
        <f t="shared" si="14"/>
        <v>0</v>
      </c>
      <c r="T33" s="156">
        <f t="shared" si="2"/>
        <v>0</v>
      </c>
      <c r="U33" s="165">
        <f t="shared" si="19"/>
        <v>0</v>
      </c>
      <c r="W33" s="154">
        <f t="shared" si="0"/>
        <v>0.94082209960187191</v>
      </c>
    </row>
    <row r="34" spans="1:23" x14ac:dyDescent="0.25">
      <c r="A34" s="163"/>
      <c r="B34" s="163"/>
      <c r="C34" s="438"/>
      <c r="D34" s="147" t="s">
        <v>202</v>
      </c>
      <c r="E34" s="166">
        <f t="shared" si="15"/>
        <v>0</v>
      </c>
      <c r="F34" s="167">
        <f t="shared" si="16"/>
        <v>0</v>
      </c>
      <c r="G34" s="168">
        <f t="shared" si="17"/>
        <v>0</v>
      </c>
      <c r="H34" s="147">
        <f t="shared" si="18"/>
        <v>5.9177900398128098E-2</v>
      </c>
      <c r="I34" s="164">
        <f t="shared" si="18"/>
        <v>0.4</v>
      </c>
      <c r="J34" s="164">
        <f t="shared" si="10"/>
        <v>0</v>
      </c>
      <c r="K34" s="147">
        <f t="shared" si="11"/>
        <v>0</v>
      </c>
      <c r="L34" s="147">
        <f t="shared" si="12"/>
        <v>0</v>
      </c>
      <c r="M34" s="147">
        <f t="shared" si="3"/>
        <v>0.23130245742998465</v>
      </c>
      <c r="N34" s="147">
        <f t="shared" si="8"/>
        <v>0.24585142879601257</v>
      </c>
      <c r="O34" s="164">
        <f t="shared" si="13"/>
        <v>0.2613155334042957</v>
      </c>
      <c r="P34" s="147">
        <f t="shared" si="1"/>
        <v>0</v>
      </c>
      <c r="Q34" s="147">
        <f t="shared" si="4"/>
        <v>0</v>
      </c>
      <c r="R34" s="147">
        <f t="shared" si="9"/>
        <v>0</v>
      </c>
      <c r="S34" s="156">
        <f t="shared" si="14"/>
        <v>0</v>
      </c>
      <c r="T34" s="156">
        <f t="shared" si="2"/>
        <v>0</v>
      </c>
      <c r="U34" s="165">
        <f t="shared" si="19"/>
        <v>0</v>
      </c>
      <c r="W34" s="154">
        <f t="shared" si="0"/>
        <v>0.94082209960187191</v>
      </c>
    </row>
    <row r="35" spans="1:23" x14ac:dyDescent="0.25">
      <c r="A35" s="163"/>
      <c r="B35" s="163"/>
      <c r="C35" s="438"/>
      <c r="D35" s="147" t="s">
        <v>203</v>
      </c>
      <c r="E35" s="166">
        <f t="shared" si="15"/>
        <v>0</v>
      </c>
      <c r="F35" s="167">
        <f t="shared" si="16"/>
        <v>0</v>
      </c>
      <c r="G35" s="168">
        <f t="shared" si="17"/>
        <v>0</v>
      </c>
      <c r="H35" s="147">
        <f t="shared" si="18"/>
        <v>5.9177900398128098E-2</v>
      </c>
      <c r="I35" s="164">
        <f t="shared" si="18"/>
        <v>0.4</v>
      </c>
      <c r="J35" s="164">
        <f t="shared" si="10"/>
        <v>0</v>
      </c>
      <c r="K35" s="147">
        <f t="shared" si="11"/>
        <v>0</v>
      </c>
      <c r="L35" s="147">
        <f t="shared" si="12"/>
        <v>0</v>
      </c>
      <c r="M35" s="147">
        <f t="shared" si="3"/>
        <v>0.21761446364235076</v>
      </c>
      <c r="N35" s="147">
        <f t="shared" si="8"/>
        <v>0.23130245742998465</v>
      </c>
      <c r="O35" s="164">
        <f t="shared" si="13"/>
        <v>0.24585142879601257</v>
      </c>
      <c r="P35" s="147">
        <f t="shared" si="1"/>
        <v>0</v>
      </c>
      <c r="Q35" s="147">
        <f t="shared" si="4"/>
        <v>0</v>
      </c>
      <c r="R35" s="147">
        <f t="shared" si="9"/>
        <v>0</v>
      </c>
      <c r="S35" s="156">
        <f t="shared" si="14"/>
        <v>0</v>
      </c>
      <c r="T35" s="156">
        <f t="shared" si="2"/>
        <v>0</v>
      </c>
      <c r="U35" s="165">
        <f t="shared" si="19"/>
        <v>0</v>
      </c>
      <c r="W35" s="154">
        <f t="shared" si="0"/>
        <v>0.94082209960187191</v>
      </c>
    </row>
    <row r="36" spans="1:23" x14ac:dyDescent="0.25">
      <c r="A36" s="163"/>
      <c r="B36" s="163"/>
      <c r="C36" s="438"/>
      <c r="D36" s="147" t="s">
        <v>204</v>
      </c>
      <c r="E36" s="166">
        <f t="shared" si="15"/>
        <v>0</v>
      </c>
      <c r="F36" s="167">
        <f t="shared" si="16"/>
        <v>0</v>
      </c>
      <c r="G36" s="168">
        <f t="shared" si="17"/>
        <v>0</v>
      </c>
      <c r="H36" s="147">
        <f t="shared" si="18"/>
        <v>5.9177900398128098E-2</v>
      </c>
      <c r="I36" s="164">
        <f t="shared" si="18"/>
        <v>0.4</v>
      </c>
      <c r="J36" s="164">
        <f t="shared" si="10"/>
        <v>0</v>
      </c>
      <c r="K36" s="147">
        <f t="shared" si="11"/>
        <v>0</v>
      </c>
      <c r="L36" s="147">
        <f t="shared" si="12"/>
        <v>0</v>
      </c>
      <c r="M36" s="147">
        <f t="shared" si="3"/>
        <v>0.20473649658773166</v>
      </c>
      <c r="N36" s="147">
        <f t="shared" si="8"/>
        <v>0.21761446364235076</v>
      </c>
      <c r="O36" s="164">
        <f t="shared" si="13"/>
        <v>0.23130245742998465</v>
      </c>
      <c r="P36" s="147">
        <f t="shared" si="1"/>
        <v>0</v>
      </c>
      <c r="Q36" s="147">
        <f t="shared" si="4"/>
        <v>0</v>
      </c>
      <c r="R36" s="147">
        <f t="shared" si="9"/>
        <v>0</v>
      </c>
      <c r="S36" s="156">
        <f t="shared" si="14"/>
        <v>0</v>
      </c>
      <c r="T36" s="156">
        <f t="shared" si="2"/>
        <v>0</v>
      </c>
      <c r="U36" s="165">
        <f t="shared" si="19"/>
        <v>0</v>
      </c>
      <c r="W36" s="154">
        <f t="shared" si="0"/>
        <v>0.94082209960187191</v>
      </c>
    </row>
    <row r="37" spans="1:23" x14ac:dyDescent="0.25">
      <c r="A37" s="163"/>
      <c r="B37" s="163"/>
      <c r="C37" s="438"/>
      <c r="D37" s="147" t="s">
        <v>205</v>
      </c>
      <c r="E37" s="166">
        <f t="shared" si="15"/>
        <v>0</v>
      </c>
      <c r="F37" s="167">
        <f t="shared" si="16"/>
        <v>0</v>
      </c>
      <c r="G37" s="168">
        <f t="shared" si="17"/>
        <v>0</v>
      </c>
      <c r="H37" s="147">
        <f t="shared" ref="H37:I52" si="20">H36</f>
        <v>5.9177900398128098E-2</v>
      </c>
      <c r="I37" s="164">
        <f t="shared" si="20"/>
        <v>0.4</v>
      </c>
      <c r="J37" s="164">
        <f t="shared" si="10"/>
        <v>0</v>
      </c>
      <c r="K37" s="147">
        <f t="shared" si="11"/>
        <v>0</v>
      </c>
      <c r="L37" s="147">
        <f t="shared" si="12"/>
        <v>0</v>
      </c>
      <c r="M37" s="147">
        <f t="shared" si="3"/>
        <v>0.19262062058480117</v>
      </c>
      <c r="N37" s="147">
        <f t="shared" si="8"/>
        <v>0.20473649658773166</v>
      </c>
      <c r="O37" s="164">
        <f t="shared" si="13"/>
        <v>0.21761446364235076</v>
      </c>
      <c r="P37" s="147">
        <f t="shared" si="1"/>
        <v>0</v>
      </c>
      <c r="Q37" s="147">
        <f t="shared" si="4"/>
        <v>0</v>
      </c>
      <c r="R37" s="147">
        <f t="shared" si="9"/>
        <v>0</v>
      </c>
      <c r="S37" s="156">
        <f t="shared" si="14"/>
        <v>0</v>
      </c>
      <c r="T37" s="156">
        <f t="shared" si="2"/>
        <v>0</v>
      </c>
      <c r="U37" s="165">
        <f t="shared" si="19"/>
        <v>0</v>
      </c>
      <c r="W37" s="154">
        <f t="shared" si="0"/>
        <v>0.94082209960187191</v>
      </c>
    </row>
    <row r="38" spans="1:23" x14ac:dyDescent="0.25">
      <c r="A38" s="163"/>
      <c r="B38" s="163"/>
      <c r="C38" s="438"/>
      <c r="D38" s="147" t="s">
        <v>206</v>
      </c>
      <c r="E38" s="166">
        <f t="shared" si="15"/>
        <v>0</v>
      </c>
      <c r="F38" s="167">
        <f t="shared" si="16"/>
        <v>0</v>
      </c>
      <c r="G38" s="168">
        <f t="shared" si="17"/>
        <v>0</v>
      </c>
      <c r="H38" s="147">
        <f t="shared" si="20"/>
        <v>5.9177900398128098E-2</v>
      </c>
      <c r="I38" s="164">
        <f t="shared" si="20"/>
        <v>0.4</v>
      </c>
      <c r="J38" s="164">
        <f t="shared" si="10"/>
        <v>0</v>
      </c>
      <c r="K38" s="147">
        <f t="shared" si="11"/>
        <v>0</v>
      </c>
      <c r="L38" s="147">
        <f t="shared" si="12"/>
        <v>0</v>
      </c>
      <c r="M38" s="147">
        <f t="shared" si="3"/>
        <v>0.18122173668520819</v>
      </c>
      <c r="N38" s="147">
        <f t="shared" si="8"/>
        <v>0.19262062058480117</v>
      </c>
      <c r="O38" s="164">
        <f t="shared" si="13"/>
        <v>0.20473649658773166</v>
      </c>
      <c r="P38" s="147">
        <f t="shared" si="1"/>
        <v>0</v>
      </c>
      <c r="Q38" s="147">
        <f t="shared" si="4"/>
        <v>0</v>
      </c>
      <c r="R38" s="147">
        <f t="shared" si="9"/>
        <v>0</v>
      </c>
      <c r="S38" s="156">
        <f t="shared" si="14"/>
        <v>0</v>
      </c>
      <c r="T38" s="156">
        <f t="shared" si="2"/>
        <v>0</v>
      </c>
      <c r="U38" s="165">
        <f t="shared" si="19"/>
        <v>0</v>
      </c>
      <c r="W38" s="154">
        <f t="shared" si="0"/>
        <v>0.94082209960187191</v>
      </c>
    </row>
    <row r="39" spans="1:23" x14ac:dyDescent="0.25">
      <c r="A39" s="163"/>
      <c r="B39" s="163"/>
      <c r="C39" s="438"/>
      <c r="D39" s="147" t="s">
        <v>207</v>
      </c>
      <c r="E39" s="166">
        <f t="shared" si="15"/>
        <v>0</v>
      </c>
      <c r="F39" s="167">
        <f t="shared" si="16"/>
        <v>0</v>
      </c>
      <c r="G39" s="168">
        <f t="shared" si="17"/>
        <v>0</v>
      </c>
      <c r="H39" s="147">
        <f t="shared" si="20"/>
        <v>5.9177900398128098E-2</v>
      </c>
      <c r="I39" s="164">
        <f t="shared" si="20"/>
        <v>0.4</v>
      </c>
      <c r="J39" s="164">
        <f t="shared" si="10"/>
        <v>0</v>
      </c>
      <c r="K39" s="147">
        <f t="shared" si="11"/>
        <v>0</v>
      </c>
      <c r="L39" s="147">
        <f t="shared" si="12"/>
        <v>0</v>
      </c>
      <c r="M39" s="147">
        <f t="shared" si="3"/>
        <v>0.17049741480167516</v>
      </c>
      <c r="N39" s="147">
        <f t="shared" si="8"/>
        <v>0.18122173668520819</v>
      </c>
      <c r="O39" s="164">
        <f t="shared" si="13"/>
        <v>0.19262062058480117</v>
      </c>
      <c r="P39" s="147">
        <f t="shared" si="1"/>
        <v>0</v>
      </c>
      <c r="Q39" s="147">
        <f t="shared" si="4"/>
        <v>0</v>
      </c>
      <c r="R39" s="147">
        <f t="shared" si="9"/>
        <v>0</v>
      </c>
      <c r="S39" s="156">
        <f t="shared" si="14"/>
        <v>0</v>
      </c>
      <c r="T39" s="156">
        <f t="shared" si="2"/>
        <v>0</v>
      </c>
      <c r="U39" s="165">
        <f t="shared" si="19"/>
        <v>0</v>
      </c>
      <c r="W39" s="154">
        <f t="shared" si="0"/>
        <v>0.94082209960187191</v>
      </c>
    </row>
    <row r="40" spans="1:23" x14ac:dyDescent="0.25">
      <c r="A40" s="163"/>
      <c r="B40" s="163"/>
      <c r="C40" s="438"/>
      <c r="D40" s="147" t="s">
        <v>208</v>
      </c>
      <c r="E40" s="166">
        <f t="shared" si="15"/>
        <v>0</v>
      </c>
      <c r="F40" s="167">
        <f t="shared" si="16"/>
        <v>0</v>
      </c>
      <c r="G40" s="168">
        <f t="shared" si="17"/>
        <v>0</v>
      </c>
      <c r="H40" s="147">
        <f t="shared" si="20"/>
        <v>5.9177900398128098E-2</v>
      </c>
      <c r="I40" s="164">
        <f t="shared" si="20"/>
        <v>0.4</v>
      </c>
      <c r="J40" s="164">
        <f t="shared" si="10"/>
        <v>0</v>
      </c>
      <c r="K40" s="147">
        <f t="shared" si="11"/>
        <v>0</v>
      </c>
      <c r="L40" s="147">
        <f t="shared" si="12"/>
        <v>0</v>
      </c>
      <c r="M40" s="147">
        <f t="shared" si="3"/>
        <v>0.16040773577040329</v>
      </c>
      <c r="N40" s="147">
        <f t="shared" si="8"/>
        <v>0.17049741480167516</v>
      </c>
      <c r="O40" s="164">
        <f t="shared" si="13"/>
        <v>0.18122173668520819</v>
      </c>
      <c r="P40" s="147">
        <f t="shared" si="1"/>
        <v>0</v>
      </c>
      <c r="Q40" s="147">
        <f t="shared" si="4"/>
        <v>0</v>
      </c>
      <c r="R40" s="147">
        <f t="shared" si="9"/>
        <v>0</v>
      </c>
      <c r="S40" s="156">
        <f t="shared" si="14"/>
        <v>0</v>
      </c>
      <c r="T40" s="156">
        <f t="shared" si="2"/>
        <v>0</v>
      </c>
      <c r="U40" s="165">
        <f t="shared" si="19"/>
        <v>0</v>
      </c>
      <c r="W40" s="154">
        <f t="shared" si="0"/>
        <v>0.94082209960187191</v>
      </c>
    </row>
    <row r="41" spans="1:23" x14ac:dyDescent="0.25">
      <c r="A41" s="163"/>
      <c r="B41" s="163"/>
      <c r="C41" s="438"/>
      <c r="D41" s="147" t="s">
        <v>209</v>
      </c>
      <c r="E41" s="166">
        <f t="shared" si="15"/>
        <v>0</v>
      </c>
      <c r="F41" s="167">
        <f t="shared" si="16"/>
        <v>0</v>
      </c>
      <c r="G41" s="168">
        <f t="shared" si="17"/>
        <v>0</v>
      </c>
      <c r="H41" s="147">
        <f t="shared" si="20"/>
        <v>5.9177900398128098E-2</v>
      </c>
      <c r="I41" s="164">
        <f t="shared" si="20"/>
        <v>0.4</v>
      </c>
      <c r="J41" s="164">
        <f t="shared" si="10"/>
        <v>0</v>
      </c>
      <c r="K41" s="147">
        <f t="shared" si="11"/>
        <v>0</v>
      </c>
      <c r="L41" s="147">
        <f t="shared" si="12"/>
        <v>0</v>
      </c>
      <c r="M41" s="147">
        <f t="shared" si="3"/>
        <v>0.15091514275989312</v>
      </c>
      <c r="N41" s="147">
        <f t="shared" si="8"/>
        <v>0.16040773577040329</v>
      </c>
      <c r="O41" s="164">
        <f t="shared" si="13"/>
        <v>0.17049741480167516</v>
      </c>
      <c r="P41" s="147">
        <f t="shared" si="1"/>
        <v>0</v>
      </c>
      <c r="Q41" s="147">
        <f t="shared" si="4"/>
        <v>0</v>
      </c>
      <c r="R41" s="147">
        <f t="shared" si="9"/>
        <v>0</v>
      </c>
      <c r="S41" s="156">
        <f t="shared" si="14"/>
        <v>0</v>
      </c>
      <c r="T41" s="156">
        <f t="shared" si="2"/>
        <v>0</v>
      </c>
      <c r="U41" s="165">
        <f t="shared" si="19"/>
        <v>0</v>
      </c>
      <c r="W41" s="154">
        <f t="shared" si="0"/>
        <v>0.94082209960187191</v>
      </c>
    </row>
    <row r="42" spans="1:23" x14ac:dyDescent="0.25">
      <c r="A42" s="163"/>
      <c r="B42" s="163"/>
      <c r="C42" s="438"/>
      <c r="D42" s="147" t="s">
        <v>210</v>
      </c>
      <c r="E42" s="166">
        <f t="shared" si="15"/>
        <v>0</v>
      </c>
      <c r="F42" s="167">
        <f t="shared" si="16"/>
        <v>0</v>
      </c>
      <c r="G42" s="168">
        <f t="shared" si="17"/>
        <v>0</v>
      </c>
      <c r="H42" s="147">
        <f t="shared" si="20"/>
        <v>5.9177900398128098E-2</v>
      </c>
      <c r="I42" s="164">
        <f t="shared" si="20"/>
        <v>0.4</v>
      </c>
      <c r="J42" s="164">
        <f t="shared" si="10"/>
        <v>0</v>
      </c>
      <c r="K42" s="147">
        <f t="shared" si="11"/>
        <v>0</v>
      </c>
      <c r="L42" s="147">
        <f t="shared" si="12"/>
        <v>0</v>
      </c>
      <c r="M42" s="147">
        <f t="shared" si="3"/>
        <v>0.14198430147307889</v>
      </c>
      <c r="N42" s="147">
        <f t="shared" si="8"/>
        <v>0.15091514275989312</v>
      </c>
      <c r="O42" s="164">
        <f t="shared" si="13"/>
        <v>0.16040773577040329</v>
      </c>
      <c r="P42" s="147">
        <f t="shared" si="1"/>
        <v>0</v>
      </c>
      <c r="Q42" s="147">
        <f t="shared" si="4"/>
        <v>0</v>
      </c>
      <c r="R42" s="147">
        <f t="shared" si="9"/>
        <v>0</v>
      </c>
      <c r="S42" s="156">
        <f t="shared" si="14"/>
        <v>0</v>
      </c>
      <c r="T42" s="156">
        <f t="shared" si="2"/>
        <v>0</v>
      </c>
      <c r="U42" s="165">
        <f t="shared" si="19"/>
        <v>0</v>
      </c>
      <c r="W42" s="154">
        <f t="shared" si="0"/>
        <v>0.94082209960187191</v>
      </c>
    </row>
    <row r="43" spans="1:23" x14ac:dyDescent="0.25">
      <c r="A43" s="163"/>
      <c r="B43" s="163"/>
      <c r="C43" s="438"/>
      <c r="D43" s="147" t="s">
        <v>211</v>
      </c>
      <c r="E43" s="166">
        <f t="shared" si="15"/>
        <v>0</v>
      </c>
      <c r="F43" s="167">
        <f t="shared" si="16"/>
        <v>0</v>
      </c>
      <c r="G43" s="168">
        <f t="shared" si="17"/>
        <v>0</v>
      </c>
      <c r="H43" s="147">
        <f t="shared" si="20"/>
        <v>5.9177900398128098E-2</v>
      </c>
      <c r="I43" s="164">
        <f t="shared" si="20"/>
        <v>0.4</v>
      </c>
      <c r="J43" s="164">
        <f t="shared" si="10"/>
        <v>0</v>
      </c>
      <c r="K43" s="147">
        <f t="shared" si="11"/>
        <v>0</v>
      </c>
      <c r="L43" s="147">
        <f t="shared" si="12"/>
        <v>0</v>
      </c>
      <c r="M43" s="147">
        <f t="shared" si="3"/>
        <v>0.13358196862240723</v>
      </c>
      <c r="N43" s="147">
        <f t="shared" si="8"/>
        <v>0.14198430147307889</v>
      </c>
      <c r="O43" s="164">
        <f t="shared" si="13"/>
        <v>0.15091514275989312</v>
      </c>
      <c r="P43" s="147">
        <f t="shared" si="1"/>
        <v>0</v>
      </c>
      <c r="Q43" s="147">
        <f t="shared" si="4"/>
        <v>0</v>
      </c>
      <c r="R43" s="147">
        <f t="shared" si="9"/>
        <v>0</v>
      </c>
      <c r="S43" s="156">
        <f t="shared" si="14"/>
        <v>0</v>
      </c>
      <c r="T43" s="156">
        <f t="shared" si="2"/>
        <v>0</v>
      </c>
      <c r="U43" s="165">
        <f t="shared" si="19"/>
        <v>0</v>
      </c>
      <c r="W43" s="154">
        <f t="shared" si="0"/>
        <v>0.94082209960187191</v>
      </c>
    </row>
    <row r="44" spans="1:23" x14ac:dyDescent="0.25">
      <c r="A44" s="163"/>
      <c r="B44" s="163"/>
      <c r="C44" s="438"/>
      <c r="D44" s="147" t="s">
        <v>212</v>
      </c>
      <c r="E44" s="166">
        <f t="shared" si="15"/>
        <v>0</v>
      </c>
      <c r="F44" s="167">
        <f t="shared" si="16"/>
        <v>0</v>
      </c>
      <c r="G44" s="168">
        <f t="shared" si="17"/>
        <v>0</v>
      </c>
      <c r="H44" s="147">
        <f t="shared" si="20"/>
        <v>5.9177900398128098E-2</v>
      </c>
      <c r="I44" s="164">
        <f t="shared" si="20"/>
        <v>0.4</v>
      </c>
      <c r="J44" s="164">
        <f t="shared" si="10"/>
        <v>0</v>
      </c>
      <c r="K44" s="147">
        <f t="shared" si="11"/>
        <v>0</v>
      </c>
      <c r="L44" s="147">
        <f t="shared" si="12"/>
        <v>0</v>
      </c>
      <c r="M44" s="147">
        <f t="shared" si="3"/>
        <v>0.12567686818828455</v>
      </c>
      <c r="N44" s="147">
        <f t="shared" si="8"/>
        <v>0.13358196862240723</v>
      </c>
      <c r="O44" s="164">
        <f t="shared" si="13"/>
        <v>0.14198430147307889</v>
      </c>
      <c r="P44" s="147">
        <f t="shared" si="1"/>
        <v>0</v>
      </c>
      <c r="Q44" s="147">
        <f t="shared" si="4"/>
        <v>0</v>
      </c>
      <c r="R44" s="147">
        <f t="shared" si="9"/>
        <v>0</v>
      </c>
      <c r="S44" s="156">
        <f t="shared" si="14"/>
        <v>0</v>
      </c>
      <c r="T44" s="156">
        <f t="shared" si="2"/>
        <v>0</v>
      </c>
      <c r="U44" s="165">
        <f t="shared" si="19"/>
        <v>0</v>
      </c>
      <c r="W44" s="154">
        <f t="shared" si="0"/>
        <v>0.94082209960187191</v>
      </c>
    </row>
    <row r="45" spans="1:23" x14ac:dyDescent="0.25">
      <c r="A45" s="163"/>
      <c r="B45" s="163"/>
      <c r="C45" s="438"/>
      <c r="D45" s="147" t="s">
        <v>213</v>
      </c>
      <c r="E45" s="166">
        <f t="shared" si="15"/>
        <v>0</v>
      </c>
      <c r="F45" s="167">
        <f t="shared" si="16"/>
        <v>0</v>
      </c>
      <c r="G45" s="168">
        <f t="shared" si="17"/>
        <v>0</v>
      </c>
      <c r="H45" s="147">
        <f t="shared" si="20"/>
        <v>5.9177900398128098E-2</v>
      </c>
      <c r="I45" s="164">
        <f t="shared" si="20"/>
        <v>0.4</v>
      </c>
      <c r="J45" s="164">
        <f t="shared" si="10"/>
        <v>0</v>
      </c>
      <c r="K45" s="147">
        <f t="shared" si="11"/>
        <v>0</v>
      </c>
      <c r="L45" s="147">
        <f t="shared" si="12"/>
        <v>0</v>
      </c>
      <c r="M45" s="147">
        <f t="shared" si="3"/>
        <v>0.11823957500028957</v>
      </c>
      <c r="N45" s="147">
        <f t="shared" si="8"/>
        <v>0.12567686818828455</v>
      </c>
      <c r="O45" s="164">
        <f t="shared" si="13"/>
        <v>0.13358196862240723</v>
      </c>
      <c r="P45" s="147">
        <f t="shared" si="1"/>
        <v>0</v>
      </c>
      <c r="Q45" s="147">
        <f t="shared" si="4"/>
        <v>0</v>
      </c>
      <c r="R45" s="147">
        <f t="shared" si="9"/>
        <v>0</v>
      </c>
      <c r="S45" s="156">
        <f t="shared" si="14"/>
        <v>0</v>
      </c>
      <c r="T45" s="156">
        <f t="shared" si="2"/>
        <v>0</v>
      </c>
      <c r="U45" s="165">
        <f t="shared" si="19"/>
        <v>0</v>
      </c>
      <c r="W45" s="154">
        <f t="shared" si="0"/>
        <v>0.94082209960187191</v>
      </c>
    </row>
    <row r="46" spans="1:23" x14ac:dyDescent="0.25">
      <c r="A46" s="163"/>
      <c r="B46" s="163"/>
      <c r="C46" s="438"/>
      <c r="D46" s="147" t="s">
        <v>214</v>
      </c>
      <c r="E46" s="166">
        <f t="shared" si="15"/>
        <v>0</v>
      </c>
      <c r="F46" s="167">
        <f t="shared" si="16"/>
        <v>0</v>
      </c>
      <c r="G46" s="168">
        <f t="shared" si="17"/>
        <v>0</v>
      </c>
      <c r="H46" s="147">
        <f t="shared" si="20"/>
        <v>5.9177900398128098E-2</v>
      </c>
      <c r="I46" s="164">
        <f t="shared" si="20"/>
        <v>0.4</v>
      </c>
      <c r="J46" s="164">
        <f t="shared" si="10"/>
        <v>0</v>
      </c>
      <c r="K46" s="147">
        <f t="shared" si="11"/>
        <v>0</v>
      </c>
      <c r="L46" s="147">
        <f t="shared" si="12"/>
        <v>0</v>
      </c>
      <c r="M46" s="147">
        <f t="shared" si="3"/>
        <v>0.11124240520780544</v>
      </c>
      <c r="N46" s="147">
        <f t="shared" si="8"/>
        <v>0.11823957500028957</v>
      </c>
      <c r="O46" s="164">
        <f t="shared" si="13"/>
        <v>0.12567686818828455</v>
      </c>
      <c r="P46" s="147">
        <f t="shared" si="1"/>
        <v>0</v>
      </c>
      <c r="Q46" s="147">
        <f t="shared" si="4"/>
        <v>0</v>
      </c>
      <c r="R46" s="147">
        <f t="shared" si="9"/>
        <v>0</v>
      </c>
      <c r="S46" s="156">
        <f t="shared" si="14"/>
        <v>0</v>
      </c>
      <c r="T46" s="156">
        <f t="shared" si="2"/>
        <v>0</v>
      </c>
      <c r="U46" s="165">
        <f t="shared" si="19"/>
        <v>0</v>
      </c>
      <c r="W46" s="154">
        <f t="shared" si="0"/>
        <v>0.94082209960187191</v>
      </c>
    </row>
    <row r="47" spans="1:23" x14ac:dyDescent="0.25">
      <c r="A47" s="163"/>
      <c r="B47" s="163"/>
      <c r="C47" s="438"/>
      <c r="D47" s="147" t="s">
        <v>215</v>
      </c>
      <c r="E47" s="166">
        <f t="shared" si="15"/>
        <v>0</v>
      </c>
      <c r="F47" s="167">
        <f t="shared" si="16"/>
        <v>0</v>
      </c>
      <c r="G47" s="168">
        <f t="shared" si="17"/>
        <v>0</v>
      </c>
      <c r="H47" s="147">
        <f t="shared" si="20"/>
        <v>5.9177900398128098E-2</v>
      </c>
      <c r="I47" s="164">
        <f t="shared" si="20"/>
        <v>0.4</v>
      </c>
      <c r="J47" s="164">
        <f t="shared" si="10"/>
        <v>0</v>
      </c>
      <c r="K47" s="147">
        <f t="shared" si="11"/>
        <v>0</v>
      </c>
      <c r="L47" s="147">
        <f t="shared" si="12"/>
        <v>0</v>
      </c>
      <c r="M47" s="147">
        <f t="shared" si="3"/>
        <v>0.10465931323236972</v>
      </c>
      <c r="N47" s="147">
        <f t="shared" si="8"/>
        <v>0.11124240520780544</v>
      </c>
      <c r="O47" s="164">
        <f t="shared" si="13"/>
        <v>0.11823957500028957</v>
      </c>
      <c r="P47" s="147">
        <f t="shared" si="1"/>
        <v>0</v>
      </c>
      <c r="Q47" s="147">
        <f t="shared" si="4"/>
        <v>0</v>
      </c>
      <c r="R47" s="147">
        <f t="shared" si="9"/>
        <v>0</v>
      </c>
      <c r="S47" s="156">
        <f t="shared" si="14"/>
        <v>0</v>
      </c>
      <c r="T47" s="156">
        <f t="shared" si="2"/>
        <v>0</v>
      </c>
      <c r="U47" s="165">
        <f t="shared" si="19"/>
        <v>0</v>
      </c>
      <c r="W47" s="154">
        <f t="shared" si="0"/>
        <v>0.94082209960187191</v>
      </c>
    </row>
    <row r="48" spans="1:23" x14ac:dyDescent="0.25">
      <c r="A48" s="163"/>
      <c r="B48" s="163"/>
      <c r="C48" s="438"/>
      <c r="D48" s="147" t="s">
        <v>216</v>
      </c>
      <c r="E48" s="166">
        <f t="shared" si="15"/>
        <v>0</v>
      </c>
      <c r="F48" s="167">
        <f t="shared" si="16"/>
        <v>0</v>
      </c>
      <c r="G48" s="168">
        <f t="shared" si="17"/>
        <v>0</v>
      </c>
      <c r="H48" s="147">
        <f t="shared" si="20"/>
        <v>5.9177900398128098E-2</v>
      </c>
      <c r="I48" s="164">
        <f t="shared" si="20"/>
        <v>0.4</v>
      </c>
      <c r="J48" s="164">
        <f t="shared" si="10"/>
        <v>0</v>
      </c>
      <c r="K48" s="147">
        <f t="shared" si="11"/>
        <v>0</v>
      </c>
      <c r="L48" s="147">
        <f t="shared" si="12"/>
        <v>0</v>
      </c>
      <c r="M48" s="147">
        <f t="shared" si="3"/>
        <v>9.8465794818168056E-2</v>
      </c>
      <c r="N48" s="147">
        <f t="shared" si="8"/>
        <v>0.10465931323236972</v>
      </c>
      <c r="O48" s="164">
        <f t="shared" si="13"/>
        <v>0.11124240520780544</v>
      </c>
      <c r="P48" s="147">
        <f t="shared" si="1"/>
        <v>0</v>
      </c>
      <c r="Q48" s="147">
        <f t="shared" si="4"/>
        <v>0</v>
      </c>
      <c r="R48" s="147">
        <f t="shared" si="9"/>
        <v>0</v>
      </c>
      <c r="S48" s="156">
        <f t="shared" si="14"/>
        <v>0</v>
      </c>
      <c r="T48" s="156">
        <f t="shared" si="2"/>
        <v>0</v>
      </c>
      <c r="U48" s="165">
        <f t="shared" si="19"/>
        <v>0</v>
      </c>
      <c r="W48" s="154">
        <f t="shared" si="0"/>
        <v>0.94082209960187191</v>
      </c>
    </row>
    <row r="49" spans="1:23" x14ac:dyDescent="0.25">
      <c r="A49" s="163"/>
      <c r="B49" s="163"/>
      <c r="C49" s="438"/>
      <c r="D49" s="147" t="s">
        <v>217</v>
      </c>
      <c r="E49" s="166">
        <f t="shared" si="15"/>
        <v>0</v>
      </c>
      <c r="F49" s="167">
        <f t="shared" si="16"/>
        <v>0</v>
      </c>
      <c r="G49" s="168">
        <f t="shared" si="17"/>
        <v>0</v>
      </c>
      <c r="H49" s="147">
        <f t="shared" si="20"/>
        <v>5.9177900398128098E-2</v>
      </c>
      <c r="I49" s="164">
        <f t="shared" si="20"/>
        <v>0.4</v>
      </c>
      <c r="J49" s="164">
        <f t="shared" si="10"/>
        <v>0</v>
      </c>
      <c r="K49" s="147">
        <f t="shared" si="11"/>
        <v>0</v>
      </c>
      <c r="L49" s="147">
        <f t="shared" si="12"/>
        <v>0</v>
      </c>
      <c r="M49" s="147">
        <f t="shared" si="3"/>
        <v>9.2638795819795991E-2</v>
      </c>
      <c r="N49" s="147">
        <f t="shared" si="8"/>
        <v>9.8465794818168056E-2</v>
      </c>
      <c r="O49" s="164">
        <f t="shared" si="13"/>
        <v>0.10465931323236972</v>
      </c>
      <c r="P49" s="147">
        <f t="shared" si="1"/>
        <v>0</v>
      </c>
      <c r="Q49" s="147">
        <f t="shared" si="4"/>
        <v>0</v>
      </c>
      <c r="R49" s="147">
        <f t="shared" si="9"/>
        <v>0</v>
      </c>
      <c r="S49" s="156">
        <f t="shared" si="14"/>
        <v>0</v>
      </c>
      <c r="T49" s="156">
        <f t="shared" si="2"/>
        <v>0</v>
      </c>
      <c r="U49" s="165">
        <f t="shared" si="19"/>
        <v>0</v>
      </c>
      <c r="W49" s="154">
        <f t="shared" si="0"/>
        <v>0.94082209960187191</v>
      </c>
    </row>
    <row r="50" spans="1:23" x14ac:dyDescent="0.25">
      <c r="A50" s="163"/>
      <c r="B50" s="163"/>
      <c r="C50" s="438"/>
      <c r="D50" s="147" t="s">
        <v>218</v>
      </c>
      <c r="E50" s="166">
        <f t="shared" si="15"/>
        <v>0</v>
      </c>
      <c r="F50" s="167">
        <f t="shared" si="16"/>
        <v>0</v>
      </c>
      <c r="G50" s="168">
        <f t="shared" si="17"/>
        <v>0</v>
      </c>
      <c r="H50" s="147">
        <f t="shared" si="20"/>
        <v>5.9177900398128098E-2</v>
      </c>
      <c r="I50" s="164">
        <f t="shared" si="20"/>
        <v>0.4</v>
      </c>
      <c r="J50" s="164">
        <f t="shared" si="10"/>
        <v>0</v>
      </c>
      <c r="K50" s="147">
        <f t="shared" si="11"/>
        <v>0</v>
      </c>
      <c r="L50" s="147">
        <f t="shared" si="12"/>
        <v>0</v>
      </c>
      <c r="M50" s="147">
        <f t="shared" si="3"/>
        <v>8.7156626387769581E-2</v>
      </c>
      <c r="N50" s="147">
        <f t="shared" si="8"/>
        <v>9.2638795819795991E-2</v>
      </c>
      <c r="O50" s="164">
        <f t="shared" si="13"/>
        <v>9.8465794818168056E-2</v>
      </c>
      <c r="P50" s="147">
        <f t="shared" si="1"/>
        <v>0</v>
      </c>
      <c r="Q50" s="147">
        <f t="shared" si="4"/>
        <v>0</v>
      </c>
      <c r="R50" s="147">
        <f t="shared" si="9"/>
        <v>0</v>
      </c>
      <c r="S50" s="156">
        <f t="shared" si="14"/>
        <v>0</v>
      </c>
      <c r="T50" s="156">
        <f t="shared" si="2"/>
        <v>0</v>
      </c>
      <c r="U50" s="165">
        <f t="shared" si="19"/>
        <v>0</v>
      </c>
      <c r="W50" s="154">
        <f t="shared" si="0"/>
        <v>0.94082209960187191</v>
      </c>
    </row>
    <row r="51" spans="1:23" x14ac:dyDescent="0.25">
      <c r="A51" s="163"/>
      <c r="B51" s="163"/>
      <c r="C51" s="438"/>
      <c r="D51" s="147" t="s">
        <v>219</v>
      </c>
      <c r="E51" s="166">
        <f t="shared" si="15"/>
        <v>0</v>
      </c>
      <c r="F51" s="167">
        <f t="shared" si="16"/>
        <v>0</v>
      </c>
      <c r="G51" s="168">
        <f t="shared" si="17"/>
        <v>0</v>
      </c>
      <c r="H51" s="147">
        <f t="shared" si="20"/>
        <v>5.9177900398128098E-2</v>
      </c>
      <c r="I51" s="164">
        <f t="shared" si="20"/>
        <v>0.4</v>
      </c>
      <c r="J51" s="164">
        <f t="shared" si="10"/>
        <v>0</v>
      </c>
      <c r="K51" s="147">
        <f t="shared" si="11"/>
        <v>0</v>
      </c>
      <c r="L51" s="147">
        <f t="shared" si="12"/>
        <v>0</v>
      </c>
      <c r="M51" s="147">
        <f t="shared" si="3"/>
        <v>8.1998880232357296E-2</v>
      </c>
      <c r="N51" s="147">
        <f t="shared" si="8"/>
        <v>8.7156626387769581E-2</v>
      </c>
      <c r="O51" s="164">
        <f t="shared" si="13"/>
        <v>9.2638795819795991E-2</v>
      </c>
      <c r="P51" s="147">
        <f t="shared" si="1"/>
        <v>0</v>
      </c>
      <c r="Q51" s="147">
        <f t="shared" si="4"/>
        <v>0</v>
      </c>
      <c r="R51" s="147">
        <f t="shared" si="9"/>
        <v>0</v>
      </c>
      <c r="S51" s="156">
        <f t="shared" si="14"/>
        <v>0</v>
      </c>
      <c r="T51" s="156">
        <f t="shared" si="2"/>
        <v>0</v>
      </c>
      <c r="U51" s="165">
        <f t="shared" si="19"/>
        <v>0</v>
      </c>
      <c r="W51" s="154">
        <f t="shared" si="0"/>
        <v>0.94082209960187191</v>
      </c>
    </row>
    <row r="52" spans="1:23" x14ac:dyDescent="0.25">
      <c r="A52" s="163"/>
      <c r="B52" s="163"/>
      <c r="C52" s="438"/>
      <c r="D52" s="147" t="s">
        <v>220</v>
      </c>
      <c r="E52" s="166">
        <f t="shared" si="15"/>
        <v>0</v>
      </c>
      <c r="F52" s="167">
        <f t="shared" si="16"/>
        <v>0</v>
      </c>
      <c r="G52" s="168">
        <f t="shared" si="17"/>
        <v>0</v>
      </c>
      <c r="H52" s="147">
        <f t="shared" si="20"/>
        <v>5.9177900398128098E-2</v>
      </c>
      <c r="I52" s="164">
        <f t="shared" si="20"/>
        <v>0.4</v>
      </c>
      <c r="J52" s="164">
        <f t="shared" si="10"/>
        <v>0</v>
      </c>
      <c r="K52" s="147">
        <f t="shared" si="11"/>
        <v>0</v>
      </c>
      <c r="L52" s="147">
        <f t="shared" si="12"/>
        <v>0</v>
      </c>
      <c r="M52" s="147">
        <f t="shared" si="3"/>
        <v>7.7146358665208817E-2</v>
      </c>
      <c r="N52" s="147">
        <f t="shared" si="8"/>
        <v>8.1998880232357296E-2</v>
      </c>
      <c r="O52" s="164">
        <f t="shared" si="13"/>
        <v>8.7156626387769581E-2</v>
      </c>
      <c r="P52" s="147">
        <f t="shared" si="1"/>
        <v>0</v>
      </c>
      <c r="Q52" s="147">
        <f t="shared" si="4"/>
        <v>0</v>
      </c>
      <c r="R52" s="147">
        <f t="shared" si="9"/>
        <v>0</v>
      </c>
      <c r="S52" s="156">
        <f t="shared" si="14"/>
        <v>0</v>
      </c>
      <c r="T52" s="156">
        <f t="shared" si="2"/>
        <v>0</v>
      </c>
      <c r="U52" s="165">
        <f t="shared" si="19"/>
        <v>0</v>
      </c>
      <c r="W52" s="154">
        <f t="shared" si="0"/>
        <v>0.94082209960187191</v>
      </c>
    </row>
    <row r="53" spans="1:23" x14ac:dyDescent="0.25">
      <c r="A53" s="163"/>
      <c r="B53" s="163"/>
      <c r="C53" s="438"/>
      <c r="D53" s="147" t="s">
        <v>221</v>
      </c>
      <c r="E53" s="166">
        <f t="shared" si="15"/>
        <v>0</v>
      </c>
      <c r="F53" s="167">
        <f t="shared" si="16"/>
        <v>0</v>
      </c>
      <c r="G53" s="168">
        <f t="shared" si="17"/>
        <v>0</v>
      </c>
      <c r="H53" s="147">
        <f t="shared" ref="H53:I59" si="21">H52</f>
        <v>5.9177900398128098E-2</v>
      </c>
      <c r="I53" s="164">
        <f t="shared" si="21"/>
        <v>0.4</v>
      </c>
      <c r="J53" s="164">
        <f t="shared" si="10"/>
        <v>0</v>
      </c>
      <c r="K53" s="147">
        <f t="shared" si="11"/>
        <v>0</v>
      </c>
      <c r="L53" s="147">
        <f t="shared" si="12"/>
        <v>0</v>
      </c>
      <c r="M53" s="147">
        <f t="shared" si="3"/>
        <v>7.2580999136040825E-2</v>
      </c>
      <c r="N53" s="147">
        <f t="shared" si="8"/>
        <v>7.7146358665208817E-2</v>
      </c>
      <c r="O53" s="164">
        <f t="shared" si="13"/>
        <v>8.1998880232357296E-2</v>
      </c>
      <c r="P53" s="147">
        <f t="shared" si="1"/>
        <v>0</v>
      </c>
      <c r="Q53" s="147">
        <f t="shared" si="4"/>
        <v>0</v>
      </c>
      <c r="R53" s="147">
        <f t="shared" si="9"/>
        <v>0</v>
      </c>
      <c r="S53" s="156">
        <f t="shared" si="14"/>
        <v>0</v>
      </c>
      <c r="T53" s="156">
        <f t="shared" si="2"/>
        <v>0</v>
      </c>
      <c r="U53" s="165">
        <f t="shared" si="19"/>
        <v>0</v>
      </c>
      <c r="W53" s="154">
        <f t="shared" si="0"/>
        <v>0.94082209960187191</v>
      </c>
    </row>
    <row r="54" spans="1:23" x14ac:dyDescent="0.25">
      <c r="A54" s="163"/>
      <c r="B54" s="163"/>
      <c r="C54" s="438"/>
      <c r="D54" s="147" t="s">
        <v>222</v>
      </c>
      <c r="E54" s="166">
        <f t="shared" si="15"/>
        <v>0</v>
      </c>
      <c r="F54" s="167">
        <f t="shared" si="16"/>
        <v>0</v>
      </c>
      <c r="G54" s="168">
        <f t="shared" si="17"/>
        <v>0</v>
      </c>
      <c r="H54" s="147">
        <f t="shared" si="21"/>
        <v>5.9177900398128098E-2</v>
      </c>
      <c r="I54" s="164">
        <f t="shared" si="21"/>
        <v>0.4</v>
      </c>
      <c r="J54" s="164">
        <f t="shared" si="10"/>
        <v>0</v>
      </c>
      <c r="K54" s="147">
        <f t="shared" si="11"/>
        <v>0</v>
      </c>
      <c r="L54" s="147">
        <f t="shared" si="12"/>
        <v>0</v>
      </c>
      <c r="M54" s="147">
        <f t="shared" si="3"/>
        <v>6.8285807998371584E-2</v>
      </c>
      <c r="N54" s="147">
        <f t="shared" si="8"/>
        <v>7.2580999136040825E-2</v>
      </c>
      <c r="O54" s="164">
        <f t="shared" si="13"/>
        <v>7.7146358665208817E-2</v>
      </c>
      <c r="P54" s="147">
        <f t="shared" si="1"/>
        <v>0</v>
      </c>
      <c r="Q54" s="147">
        <f t="shared" si="4"/>
        <v>0</v>
      </c>
      <c r="R54" s="147">
        <f t="shared" si="9"/>
        <v>0</v>
      </c>
      <c r="S54" s="156">
        <f t="shared" si="14"/>
        <v>0</v>
      </c>
      <c r="T54" s="156">
        <f t="shared" si="2"/>
        <v>0</v>
      </c>
      <c r="U54" s="165">
        <f t="shared" si="19"/>
        <v>0</v>
      </c>
      <c r="W54" s="154">
        <f t="shared" si="0"/>
        <v>0.94082209960187191</v>
      </c>
    </row>
    <row r="55" spans="1:23" x14ac:dyDescent="0.25">
      <c r="A55" s="163"/>
      <c r="B55" s="163"/>
      <c r="C55" s="438"/>
      <c r="D55" s="147" t="s">
        <v>223</v>
      </c>
      <c r="E55" s="166">
        <f t="shared" si="15"/>
        <v>0</v>
      </c>
      <c r="F55" s="167">
        <f t="shared" si="16"/>
        <v>0</v>
      </c>
      <c r="G55" s="168">
        <f t="shared" si="17"/>
        <v>0</v>
      </c>
      <c r="H55" s="147">
        <f t="shared" si="21"/>
        <v>5.9177900398128098E-2</v>
      </c>
      <c r="I55" s="164">
        <f t="shared" si="21"/>
        <v>0.4</v>
      </c>
      <c r="J55" s="164">
        <f t="shared" si="10"/>
        <v>0</v>
      </c>
      <c r="K55" s="147">
        <f t="shared" si="11"/>
        <v>0</v>
      </c>
      <c r="L55" s="147">
        <f t="shared" si="12"/>
        <v>0</v>
      </c>
      <c r="M55" s="147">
        <f t="shared" si="3"/>
        <v>6.4244797254038255E-2</v>
      </c>
      <c r="N55" s="147">
        <f t="shared" si="8"/>
        <v>6.8285807998371584E-2</v>
      </c>
      <c r="O55" s="164">
        <f t="shared" si="13"/>
        <v>7.2580999136040825E-2</v>
      </c>
      <c r="P55" s="147">
        <f t="shared" si="1"/>
        <v>0</v>
      </c>
      <c r="Q55" s="147">
        <f t="shared" si="4"/>
        <v>0</v>
      </c>
      <c r="R55" s="147">
        <f t="shared" si="9"/>
        <v>0</v>
      </c>
      <c r="S55" s="156">
        <f t="shared" si="14"/>
        <v>0</v>
      </c>
      <c r="T55" s="156">
        <f t="shared" si="2"/>
        <v>0</v>
      </c>
      <c r="U55" s="165">
        <f t="shared" si="19"/>
        <v>0</v>
      </c>
      <c r="W55" s="154">
        <f t="shared" si="0"/>
        <v>0.94082209960187191</v>
      </c>
    </row>
    <row r="56" spans="1:23" x14ac:dyDescent="0.25">
      <c r="A56" s="163"/>
      <c r="B56" s="163"/>
      <c r="C56" s="438"/>
      <c r="D56" s="147" t="s">
        <v>224</v>
      </c>
      <c r="E56" s="166">
        <f t="shared" si="15"/>
        <v>0</v>
      </c>
      <c r="F56" s="167">
        <f t="shared" si="16"/>
        <v>0</v>
      </c>
      <c r="G56" s="168">
        <f t="shared" si="17"/>
        <v>0</v>
      </c>
      <c r="H56" s="147">
        <f t="shared" si="21"/>
        <v>5.9177900398128098E-2</v>
      </c>
      <c r="I56" s="164">
        <f t="shared" si="21"/>
        <v>0.4</v>
      </c>
      <c r="J56" s="164">
        <f t="shared" si="10"/>
        <v>0</v>
      </c>
      <c r="K56" s="147">
        <f t="shared" si="11"/>
        <v>0</v>
      </c>
      <c r="L56" s="147">
        <f t="shared" si="12"/>
        <v>0</v>
      </c>
      <c r="M56" s="147">
        <f t="shared" si="3"/>
        <v>6.0442925041040846E-2</v>
      </c>
      <c r="N56" s="147">
        <f t="shared" si="8"/>
        <v>6.4244797254038255E-2</v>
      </c>
      <c r="O56" s="164">
        <f t="shared" si="13"/>
        <v>6.8285807998371584E-2</v>
      </c>
      <c r="P56" s="147">
        <f t="shared" si="1"/>
        <v>0</v>
      </c>
      <c r="Q56" s="147">
        <f t="shared" si="4"/>
        <v>0</v>
      </c>
      <c r="R56" s="147">
        <f t="shared" si="9"/>
        <v>0</v>
      </c>
      <c r="S56" s="156">
        <f t="shared" si="14"/>
        <v>0</v>
      </c>
      <c r="T56" s="156">
        <f t="shared" si="2"/>
        <v>0</v>
      </c>
      <c r="U56" s="165">
        <f t="shared" si="19"/>
        <v>0</v>
      </c>
      <c r="W56" s="154">
        <f t="shared" si="0"/>
        <v>0.94082209960187191</v>
      </c>
    </row>
    <row r="57" spans="1:23" x14ac:dyDescent="0.25">
      <c r="A57" s="163"/>
      <c r="B57" s="163"/>
      <c r="C57" s="438"/>
      <c r="D57" s="147" t="s">
        <v>225</v>
      </c>
      <c r="E57" s="166">
        <f t="shared" si="15"/>
        <v>0</v>
      </c>
      <c r="F57" s="167">
        <f t="shared" si="16"/>
        <v>0</v>
      </c>
      <c r="G57" s="168">
        <f t="shared" si="17"/>
        <v>0</v>
      </c>
      <c r="H57" s="147">
        <f t="shared" si="21"/>
        <v>5.9177900398128098E-2</v>
      </c>
      <c r="I57" s="164">
        <f t="shared" si="21"/>
        <v>0.4</v>
      </c>
      <c r="J57" s="164">
        <f t="shared" si="10"/>
        <v>0</v>
      </c>
      <c r="K57" s="147">
        <f t="shared" si="11"/>
        <v>0</v>
      </c>
      <c r="L57" s="147">
        <f t="shared" si="12"/>
        <v>0</v>
      </c>
      <c r="M57" s="147">
        <f t="shared" si="3"/>
        <v>5.6866039643190605E-2</v>
      </c>
      <c r="N57" s="147">
        <f t="shared" si="8"/>
        <v>6.0442925041040846E-2</v>
      </c>
      <c r="O57" s="164">
        <f t="shared" si="13"/>
        <v>6.4244797254038255E-2</v>
      </c>
      <c r="P57" s="147">
        <f t="shared" si="1"/>
        <v>0</v>
      </c>
      <c r="Q57" s="147">
        <f t="shared" si="4"/>
        <v>0</v>
      </c>
      <c r="R57" s="147">
        <f t="shared" si="9"/>
        <v>0</v>
      </c>
      <c r="S57" s="156">
        <f t="shared" si="14"/>
        <v>0</v>
      </c>
      <c r="T57" s="156">
        <f t="shared" si="2"/>
        <v>0</v>
      </c>
      <c r="U57" s="165">
        <f t="shared" si="19"/>
        <v>0</v>
      </c>
      <c r="W57" s="154">
        <f t="shared" si="0"/>
        <v>0.94082209960187191</v>
      </c>
    </row>
    <row r="58" spans="1:23" x14ac:dyDescent="0.25">
      <c r="A58" s="163"/>
      <c r="B58" s="163"/>
      <c r="C58" s="438"/>
      <c r="D58" s="147" t="s">
        <v>226</v>
      </c>
      <c r="E58" s="166">
        <f t="shared" si="15"/>
        <v>0</v>
      </c>
      <c r="F58" s="167">
        <f t="shared" si="16"/>
        <v>0</v>
      </c>
      <c r="G58" s="168">
        <f t="shared" si="17"/>
        <v>0</v>
      </c>
      <c r="H58" s="147">
        <f t="shared" si="21"/>
        <v>5.9177900398128098E-2</v>
      </c>
      <c r="I58" s="164">
        <f t="shared" si="21"/>
        <v>0.4</v>
      </c>
      <c r="J58" s="164">
        <f t="shared" si="10"/>
        <v>0</v>
      </c>
      <c r="K58" s="147">
        <f t="shared" si="11"/>
        <v>0</v>
      </c>
      <c r="L58" s="147">
        <f t="shared" si="12"/>
        <v>0</v>
      </c>
      <c r="M58" s="147">
        <f t="shared" si="3"/>
        <v>5.3500826813149868E-2</v>
      </c>
      <c r="N58" s="147">
        <f t="shared" si="8"/>
        <v>5.6866039643190605E-2</v>
      </c>
      <c r="O58" s="164">
        <f t="shared" si="13"/>
        <v>6.0442925041040846E-2</v>
      </c>
      <c r="P58" s="147">
        <f t="shared" si="1"/>
        <v>0</v>
      </c>
      <c r="Q58" s="147">
        <f t="shared" si="4"/>
        <v>0</v>
      </c>
      <c r="R58" s="147">
        <f t="shared" si="9"/>
        <v>0</v>
      </c>
      <c r="S58" s="156">
        <f t="shared" si="14"/>
        <v>0</v>
      </c>
      <c r="T58" s="156">
        <f t="shared" si="2"/>
        <v>0</v>
      </c>
      <c r="U58" s="165">
        <f t="shared" si="19"/>
        <v>0</v>
      </c>
      <c r="W58" s="154">
        <f t="shared" si="0"/>
        <v>0.94082209960187191</v>
      </c>
    </row>
    <row r="59" spans="1:23" x14ac:dyDescent="0.25">
      <c r="A59" s="163"/>
      <c r="B59" s="163"/>
      <c r="C59" s="438"/>
      <c r="D59" s="147" t="s">
        <v>227</v>
      </c>
      <c r="E59" s="166">
        <f t="shared" si="15"/>
        <v>0</v>
      </c>
      <c r="F59" s="167">
        <f t="shared" si="16"/>
        <v>0</v>
      </c>
      <c r="G59" s="168">
        <f t="shared" si="17"/>
        <v>0</v>
      </c>
      <c r="H59" s="147">
        <f t="shared" si="21"/>
        <v>5.9177900398128098E-2</v>
      </c>
      <c r="I59" s="164">
        <f t="shared" si="21"/>
        <v>0.4</v>
      </c>
      <c r="J59" s="147">
        <f t="shared" si="10"/>
        <v>0</v>
      </c>
      <c r="K59" s="147">
        <f t="shared" si="11"/>
        <v>0</v>
      </c>
      <c r="L59" s="147">
        <f t="shared" si="12"/>
        <v>0</v>
      </c>
      <c r="M59" s="147">
        <f t="shared" si="3"/>
        <v>5.0334760212783783E-2</v>
      </c>
      <c r="N59" s="147">
        <f t="shared" si="8"/>
        <v>5.3500826813149868E-2</v>
      </c>
      <c r="O59" s="164">
        <f t="shared" si="13"/>
        <v>5.6866039643190605E-2</v>
      </c>
      <c r="P59" s="147">
        <f t="shared" si="1"/>
        <v>0</v>
      </c>
      <c r="Q59" s="147">
        <f t="shared" si="4"/>
        <v>0</v>
      </c>
      <c r="R59" s="147">
        <f t="shared" si="9"/>
        <v>0</v>
      </c>
      <c r="S59" s="156">
        <f t="shared" si="14"/>
        <v>0</v>
      </c>
      <c r="T59" s="156">
        <f t="shared" si="2"/>
        <v>0</v>
      </c>
      <c r="U59" s="165">
        <f t="shared" si="19"/>
        <v>0</v>
      </c>
      <c r="W59" s="154">
        <f t="shared" si="0"/>
        <v>0.94082209960187191</v>
      </c>
    </row>
    <row r="60" spans="1:23" x14ac:dyDescent="0.25">
      <c r="A60" s="163"/>
      <c r="B60" s="163"/>
      <c r="C60" s="438"/>
      <c r="D60" s="147" t="s">
        <v>228</v>
      </c>
      <c r="E60" s="166">
        <f>IF(E59&gt;0.1,-100/($D$2-3)+E59,0)</f>
        <v>0</v>
      </c>
      <c r="F60" s="167">
        <f>IF(F59&gt;0.1,-100/($D$2-2)+F59,0)</f>
        <v>0</v>
      </c>
      <c r="G60" s="168">
        <f>IF(G59&gt;0.1,-100/($D$2-1)+G59,0)</f>
        <v>0</v>
      </c>
      <c r="H60" s="147">
        <f>H59</f>
        <v>5.9177900398128098E-2</v>
      </c>
      <c r="I60" s="164">
        <f>I59</f>
        <v>0.4</v>
      </c>
      <c r="J60" s="147">
        <f>I60*E60/100</f>
        <v>0</v>
      </c>
      <c r="K60" s="147">
        <f>I60*F60/100</f>
        <v>0</v>
      </c>
      <c r="L60" s="147">
        <f>I60*G60/100</f>
        <v>0</v>
      </c>
      <c r="M60" s="147">
        <f>M59*W59</f>
        <v>4.7356054786348002E-2</v>
      </c>
      <c r="N60" s="147">
        <f>N59*W59</f>
        <v>5.0334760212783783E-2</v>
      </c>
      <c r="O60" s="164">
        <f>O59*W59</f>
        <v>5.3500826813149868E-2</v>
      </c>
      <c r="P60" s="147">
        <f>H60*J60*M60</f>
        <v>0</v>
      </c>
      <c r="Q60" s="147">
        <f>N60*K60*H60</f>
        <v>0</v>
      </c>
      <c r="R60" s="147">
        <f>H60*L60*O60</f>
        <v>0</v>
      </c>
      <c r="S60" s="156">
        <f>P60*$E60</f>
        <v>0</v>
      </c>
      <c r="T60" s="156">
        <f>Q60*$F60</f>
        <v>0</v>
      </c>
      <c r="U60" s="165">
        <f>R60*$G60</f>
        <v>0</v>
      </c>
      <c r="W60" s="154">
        <f t="shared" si="0"/>
        <v>0.94082209960187191</v>
      </c>
    </row>
    <row r="61" spans="1:23" x14ac:dyDescent="0.25">
      <c r="A61" s="163"/>
      <c r="B61" s="163"/>
      <c r="C61" s="426"/>
      <c r="D61" s="157" t="s">
        <v>229</v>
      </c>
      <c r="E61" s="169">
        <f>IF(E60&gt;0.1,-100/($D$2-3)+E60,0)</f>
        <v>0</v>
      </c>
      <c r="F61" s="170">
        <f>IF(F60&gt;0.1,-100/($D$2-2)+F60,0)</f>
        <v>0</v>
      </c>
      <c r="G61" s="171">
        <f>IF(G60&gt;0.1,-100/($D$2-1)+G60,0)</f>
        <v>0</v>
      </c>
      <c r="H61" s="157">
        <f>H60</f>
        <v>5.9177900398128098E-2</v>
      </c>
      <c r="I61" s="172">
        <f>I60</f>
        <v>0.4</v>
      </c>
      <c r="J61" s="157">
        <f>I61*E61/100</f>
        <v>0</v>
      </c>
      <c r="K61" s="157">
        <f>I61*F61/100</f>
        <v>0</v>
      </c>
      <c r="L61" s="157">
        <f>I61*G61/100</f>
        <v>0</v>
      </c>
      <c r="M61" s="157">
        <f>M60*W60</f>
        <v>4.4553622892953205E-2</v>
      </c>
      <c r="N61" s="157">
        <f>N60*W60</f>
        <v>4.7356054786348002E-2</v>
      </c>
      <c r="O61" s="172">
        <f>O60*W60</f>
        <v>5.0334760212783783E-2</v>
      </c>
      <c r="P61" s="157">
        <f>H61*J61*M61</f>
        <v>0</v>
      </c>
      <c r="Q61" s="157">
        <f>N61*K61*H61</f>
        <v>0</v>
      </c>
      <c r="R61" s="157">
        <f>H61*L61*O61</f>
        <v>0</v>
      </c>
      <c r="S61" s="173">
        <f>P61*$E61</f>
        <v>0</v>
      </c>
      <c r="T61" s="173">
        <f>Q61*$F61</f>
        <v>0</v>
      </c>
      <c r="U61" s="174">
        <f>R61*$G61</f>
        <v>0</v>
      </c>
      <c r="W61" s="182">
        <f t="shared" si="0"/>
        <v>0.94082209960187191</v>
      </c>
    </row>
    <row r="62" spans="1:23" x14ac:dyDescent="0.25">
      <c r="V62" s="114"/>
    </row>
    <row r="63" spans="1:23" x14ac:dyDescent="0.25">
      <c r="P63" s="138" t="s">
        <v>230</v>
      </c>
      <c r="Q63" s="138" t="s">
        <v>230</v>
      </c>
      <c r="R63" s="138" t="s">
        <v>230</v>
      </c>
      <c r="S63" s="183" t="s">
        <v>231</v>
      </c>
      <c r="T63" s="122" t="s">
        <v>231</v>
      </c>
      <c r="U63" s="122" t="s">
        <v>231</v>
      </c>
    </row>
    <row r="64" spans="1:23" x14ac:dyDescent="0.25">
      <c r="O64" s="184" t="s">
        <v>11</v>
      </c>
      <c r="P64" s="185">
        <f>S64/$E$9</f>
        <v>9.1242958335850374E-2</v>
      </c>
      <c r="Q64" s="186"/>
      <c r="R64" s="186"/>
      <c r="S64" s="187">
        <f>SUM(S10:S59)</f>
        <v>9.1242958335850375</v>
      </c>
      <c r="T64" s="114"/>
      <c r="U64" s="114"/>
      <c r="V64" s="145"/>
    </row>
    <row r="65" spans="15:21" x14ac:dyDescent="0.25">
      <c r="O65" s="184" t="s">
        <v>12</v>
      </c>
      <c r="P65" s="185"/>
      <c r="Q65" s="185">
        <f>T65/$E$9</f>
        <v>7.7715730800172064E-2</v>
      </c>
      <c r="R65" s="186"/>
      <c r="S65" s="145"/>
      <c r="T65" s="187">
        <f>SUM(T11:T59)</f>
        <v>7.7715730800172063</v>
      </c>
    </row>
    <row r="66" spans="15:21" x14ac:dyDescent="0.25">
      <c r="O66" s="188" t="s">
        <v>13</v>
      </c>
      <c r="P66" s="185"/>
      <c r="Q66" s="186"/>
      <c r="R66" s="185">
        <f>U66/$E$9</f>
        <v>6.3814509532723745E-2</v>
      </c>
      <c r="S66" s="145"/>
      <c r="T66" s="145"/>
      <c r="U66" s="187">
        <f>SUM(U12:U59)</f>
        <v>6.381450953272374</v>
      </c>
    </row>
  </sheetData>
  <mergeCells count="9">
    <mergeCell ref="S6:U6"/>
    <mergeCell ref="E8:G8"/>
    <mergeCell ref="C10:C12"/>
    <mergeCell ref="C13:C18"/>
    <mergeCell ref="C19:C61"/>
    <mergeCell ref="E6:G6"/>
    <mergeCell ref="H6:L6"/>
    <mergeCell ref="M6:O6"/>
    <mergeCell ref="P6:R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53"/>
  <sheetViews>
    <sheetView workbookViewId="0"/>
  </sheetViews>
  <sheetFormatPr defaultRowHeight="15" x14ac:dyDescent="0.25"/>
  <sheetData>
    <row r="3" spans="3:9" x14ac:dyDescent="0.25">
      <c r="C3" s="2" t="s">
        <v>23</v>
      </c>
      <c r="F3" s="2" t="s">
        <v>28</v>
      </c>
      <c r="I3" s="2" t="s">
        <v>236</v>
      </c>
    </row>
    <row r="4" spans="3:9" x14ac:dyDescent="0.25">
      <c r="C4" t="s">
        <v>25</v>
      </c>
      <c r="D4" t="s">
        <v>25</v>
      </c>
      <c r="F4" t="s">
        <v>30</v>
      </c>
      <c r="G4" t="s">
        <v>29</v>
      </c>
      <c r="I4">
        <v>1</v>
      </c>
    </row>
    <row r="5" spans="3:9" x14ac:dyDescent="0.25">
      <c r="C5" t="s">
        <v>24</v>
      </c>
      <c r="D5" t="s">
        <v>24</v>
      </c>
      <c r="F5" t="s">
        <v>32</v>
      </c>
      <c r="G5" t="s">
        <v>31</v>
      </c>
      <c r="I5">
        <v>2</v>
      </c>
    </row>
    <row r="6" spans="3:9" x14ac:dyDescent="0.25">
      <c r="C6" t="s">
        <v>2</v>
      </c>
      <c r="D6" t="s">
        <v>118</v>
      </c>
      <c r="F6" t="s">
        <v>34</v>
      </c>
      <c r="G6" t="s">
        <v>33</v>
      </c>
      <c r="I6">
        <v>3</v>
      </c>
    </row>
    <row r="7" spans="3:9" x14ac:dyDescent="0.25">
      <c r="C7" t="s">
        <v>26</v>
      </c>
      <c r="D7" t="s">
        <v>119</v>
      </c>
      <c r="F7" t="s">
        <v>36</v>
      </c>
      <c r="G7" t="s">
        <v>35</v>
      </c>
      <c r="I7">
        <v>4</v>
      </c>
    </row>
    <row r="8" spans="3:9" x14ac:dyDescent="0.25">
      <c r="C8" t="s">
        <v>27</v>
      </c>
      <c r="D8" t="s">
        <v>120</v>
      </c>
      <c r="F8" t="s">
        <v>38</v>
      </c>
      <c r="G8" t="s">
        <v>37</v>
      </c>
      <c r="I8">
        <v>5</v>
      </c>
    </row>
    <row r="9" spans="3:9" x14ac:dyDescent="0.25">
      <c r="F9" t="s">
        <v>40</v>
      </c>
      <c r="G9" t="s">
        <v>39</v>
      </c>
      <c r="I9">
        <v>6</v>
      </c>
    </row>
    <row r="10" spans="3:9" x14ac:dyDescent="0.25">
      <c r="F10" t="s">
        <v>42</v>
      </c>
      <c r="G10" t="s">
        <v>41</v>
      </c>
      <c r="I10">
        <v>7</v>
      </c>
    </row>
    <row r="11" spans="3:9" x14ac:dyDescent="0.25">
      <c r="F11" t="s">
        <v>44</v>
      </c>
      <c r="G11" t="s">
        <v>43</v>
      </c>
      <c r="I11">
        <v>8</v>
      </c>
    </row>
    <row r="12" spans="3:9" x14ac:dyDescent="0.25">
      <c r="F12" t="s">
        <v>46</v>
      </c>
      <c r="G12" t="s">
        <v>45</v>
      </c>
      <c r="I12">
        <v>9</v>
      </c>
    </row>
    <row r="13" spans="3:9" x14ac:dyDescent="0.25">
      <c r="F13" t="s">
        <v>48</v>
      </c>
      <c r="G13" t="s">
        <v>47</v>
      </c>
      <c r="I13">
        <v>10</v>
      </c>
    </row>
    <row r="14" spans="3:9" x14ac:dyDescent="0.25">
      <c r="F14" t="s">
        <v>50</v>
      </c>
      <c r="G14" t="s">
        <v>49</v>
      </c>
      <c r="I14">
        <v>11</v>
      </c>
    </row>
    <row r="15" spans="3:9" x14ac:dyDescent="0.25">
      <c r="F15" t="s">
        <v>52</v>
      </c>
      <c r="G15" t="s">
        <v>51</v>
      </c>
      <c r="I15">
        <v>12</v>
      </c>
    </row>
    <row r="16" spans="3:9" x14ac:dyDescent="0.25">
      <c r="F16" t="s">
        <v>54</v>
      </c>
      <c r="G16" t="s">
        <v>53</v>
      </c>
      <c r="I16">
        <v>13</v>
      </c>
    </row>
    <row r="17" spans="6:9" x14ac:dyDescent="0.25">
      <c r="F17" t="s">
        <v>56</v>
      </c>
      <c r="G17" t="s">
        <v>55</v>
      </c>
      <c r="I17">
        <v>14</v>
      </c>
    </row>
    <row r="18" spans="6:9" x14ac:dyDescent="0.25">
      <c r="F18" t="s">
        <v>58</v>
      </c>
      <c r="G18" t="s">
        <v>57</v>
      </c>
      <c r="I18">
        <v>15</v>
      </c>
    </row>
    <row r="19" spans="6:9" x14ac:dyDescent="0.25">
      <c r="F19" t="s">
        <v>60</v>
      </c>
      <c r="G19" t="s">
        <v>59</v>
      </c>
      <c r="I19">
        <v>16</v>
      </c>
    </row>
    <row r="20" spans="6:9" x14ac:dyDescent="0.25">
      <c r="F20" t="s">
        <v>62</v>
      </c>
      <c r="G20" t="s">
        <v>61</v>
      </c>
      <c r="I20">
        <v>17</v>
      </c>
    </row>
    <row r="21" spans="6:9" x14ac:dyDescent="0.25">
      <c r="F21" t="s">
        <v>64</v>
      </c>
      <c r="G21" t="s">
        <v>63</v>
      </c>
      <c r="I21">
        <v>18</v>
      </c>
    </row>
    <row r="22" spans="6:9" x14ac:dyDescent="0.25">
      <c r="F22" t="s">
        <v>66</v>
      </c>
      <c r="G22" t="s">
        <v>65</v>
      </c>
      <c r="I22">
        <v>19</v>
      </c>
    </row>
    <row r="23" spans="6:9" x14ac:dyDescent="0.25">
      <c r="F23" t="s">
        <v>3</v>
      </c>
      <c r="G23" t="s">
        <v>67</v>
      </c>
      <c r="I23">
        <v>20</v>
      </c>
    </row>
    <row r="24" spans="6:9" x14ac:dyDescent="0.25">
      <c r="F24" t="s">
        <v>69</v>
      </c>
      <c r="G24" t="s">
        <v>68</v>
      </c>
      <c r="I24">
        <v>21</v>
      </c>
    </row>
    <row r="25" spans="6:9" x14ac:dyDescent="0.25">
      <c r="F25" t="s">
        <v>71</v>
      </c>
      <c r="G25" t="s">
        <v>70</v>
      </c>
      <c r="I25">
        <v>22</v>
      </c>
    </row>
    <row r="26" spans="6:9" x14ac:dyDescent="0.25">
      <c r="F26" t="s">
        <v>73</v>
      </c>
      <c r="G26" t="s">
        <v>72</v>
      </c>
      <c r="I26">
        <v>23</v>
      </c>
    </row>
    <row r="27" spans="6:9" x14ac:dyDescent="0.25">
      <c r="F27" t="s">
        <v>75</v>
      </c>
      <c r="G27" t="s">
        <v>74</v>
      </c>
      <c r="I27">
        <v>24</v>
      </c>
    </row>
    <row r="28" spans="6:9" x14ac:dyDescent="0.25">
      <c r="F28" t="s">
        <v>77</v>
      </c>
      <c r="G28" t="s">
        <v>76</v>
      </c>
      <c r="I28">
        <v>25</v>
      </c>
    </row>
    <row r="29" spans="6:9" x14ac:dyDescent="0.25">
      <c r="F29" t="s">
        <v>79</v>
      </c>
      <c r="G29" t="s">
        <v>78</v>
      </c>
      <c r="I29">
        <v>26</v>
      </c>
    </row>
    <row r="30" spans="6:9" x14ac:dyDescent="0.25">
      <c r="F30" t="s">
        <v>81</v>
      </c>
      <c r="G30" t="s">
        <v>80</v>
      </c>
      <c r="I30">
        <v>27</v>
      </c>
    </row>
    <row r="31" spans="6:9" x14ac:dyDescent="0.25">
      <c r="F31" t="s">
        <v>83</v>
      </c>
      <c r="G31" t="s">
        <v>82</v>
      </c>
      <c r="I31">
        <v>28</v>
      </c>
    </row>
    <row r="32" spans="6:9" x14ac:dyDescent="0.25">
      <c r="I32">
        <v>29</v>
      </c>
    </row>
    <row r="33" spans="6:9" x14ac:dyDescent="0.25">
      <c r="F33" t="s">
        <v>84</v>
      </c>
      <c r="G33" t="s">
        <v>100</v>
      </c>
      <c r="I33">
        <v>30</v>
      </c>
    </row>
    <row r="34" spans="6:9" x14ac:dyDescent="0.25">
      <c r="F34" t="s">
        <v>85</v>
      </c>
      <c r="G34" t="s">
        <v>101</v>
      </c>
      <c r="I34">
        <v>31</v>
      </c>
    </row>
    <row r="35" spans="6:9" x14ac:dyDescent="0.25">
      <c r="F35" t="s">
        <v>86</v>
      </c>
      <c r="G35" t="s">
        <v>102</v>
      </c>
      <c r="I35">
        <v>32</v>
      </c>
    </row>
    <row r="36" spans="6:9" x14ac:dyDescent="0.25">
      <c r="F36" t="s">
        <v>87</v>
      </c>
      <c r="G36" t="s">
        <v>103</v>
      </c>
      <c r="I36">
        <v>33</v>
      </c>
    </row>
    <row r="37" spans="6:9" x14ac:dyDescent="0.25">
      <c r="F37" t="s">
        <v>88</v>
      </c>
      <c r="G37" t="s">
        <v>104</v>
      </c>
      <c r="I37">
        <v>34</v>
      </c>
    </row>
    <row r="38" spans="6:9" x14ac:dyDescent="0.25">
      <c r="F38" t="s">
        <v>89</v>
      </c>
      <c r="G38" t="s">
        <v>105</v>
      </c>
      <c r="I38">
        <v>35</v>
      </c>
    </row>
    <row r="39" spans="6:9" x14ac:dyDescent="0.25">
      <c r="F39" t="s">
        <v>90</v>
      </c>
      <c r="G39" t="s">
        <v>106</v>
      </c>
      <c r="I39">
        <v>36</v>
      </c>
    </row>
    <row r="40" spans="6:9" x14ac:dyDescent="0.25">
      <c r="F40" t="s">
        <v>91</v>
      </c>
      <c r="G40" t="s">
        <v>107</v>
      </c>
      <c r="I40">
        <v>37</v>
      </c>
    </row>
    <row r="41" spans="6:9" x14ac:dyDescent="0.25">
      <c r="F41" t="s">
        <v>92</v>
      </c>
      <c r="G41" t="s">
        <v>108</v>
      </c>
      <c r="I41">
        <v>38</v>
      </c>
    </row>
    <row r="42" spans="6:9" x14ac:dyDescent="0.25">
      <c r="F42" t="s">
        <v>93</v>
      </c>
      <c r="G42" t="s">
        <v>109</v>
      </c>
      <c r="I42">
        <v>39</v>
      </c>
    </row>
    <row r="43" spans="6:9" x14ac:dyDescent="0.25">
      <c r="F43" t="s">
        <v>94</v>
      </c>
      <c r="G43" t="s">
        <v>110</v>
      </c>
      <c r="I43">
        <v>40</v>
      </c>
    </row>
    <row r="44" spans="6:9" x14ac:dyDescent="0.25">
      <c r="F44" t="s">
        <v>95</v>
      </c>
      <c r="G44" t="s">
        <v>111</v>
      </c>
      <c r="I44">
        <v>41</v>
      </c>
    </row>
    <row r="45" spans="6:9" x14ac:dyDescent="0.25">
      <c r="F45" t="s">
        <v>96</v>
      </c>
      <c r="G45" t="s">
        <v>112</v>
      </c>
      <c r="I45">
        <v>42</v>
      </c>
    </row>
    <row r="46" spans="6:9" x14ac:dyDescent="0.25">
      <c r="F46" t="s">
        <v>97</v>
      </c>
      <c r="G46" t="s">
        <v>113</v>
      </c>
      <c r="I46">
        <v>43</v>
      </c>
    </row>
    <row r="47" spans="6:9" x14ac:dyDescent="0.25">
      <c r="F47" t="s">
        <v>98</v>
      </c>
      <c r="G47" t="s">
        <v>114</v>
      </c>
      <c r="I47">
        <v>44</v>
      </c>
    </row>
    <row r="48" spans="6:9" x14ac:dyDescent="0.25">
      <c r="F48" t="s">
        <v>99</v>
      </c>
      <c r="G48" t="s">
        <v>115</v>
      </c>
      <c r="I48">
        <v>45</v>
      </c>
    </row>
    <row r="49" spans="9:9" x14ac:dyDescent="0.25">
      <c r="I49">
        <v>46</v>
      </c>
    </row>
    <row r="50" spans="9:9" x14ac:dyDescent="0.25">
      <c r="I50">
        <v>47</v>
      </c>
    </row>
    <row r="51" spans="9:9" x14ac:dyDescent="0.25">
      <c r="I51">
        <v>48</v>
      </c>
    </row>
    <row r="52" spans="9:9" x14ac:dyDescent="0.25">
      <c r="I52">
        <v>49</v>
      </c>
    </row>
    <row r="53" spans="9:9" x14ac:dyDescent="0.25">
      <c r="I53">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18</vt:i4>
      </vt:variant>
    </vt:vector>
  </HeadingPairs>
  <TitlesOfParts>
    <vt:vector size="18" baseType="lpstr">
      <vt:lpstr>Notes and instructions</vt:lpstr>
      <vt:lpstr>CR Path Generator</vt:lpstr>
      <vt:lpstr>Sovereign</vt:lpstr>
      <vt:lpstr>Segment model mapping</vt:lpstr>
      <vt:lpstr>Processor PDs</vt:lpstr>
      <vt:lpstr>Processor TPs</vt:lpstr>
      <vt:lpstr>Processor LGD1-3</vt:lpstr>
      <vt:lpstr>Processor LGD2-3</vt:lpstr>
      <vt:lpstr>Processor LGD3-3</vt:lpstr>
      <vt:lpstr>Processor LT base</vt:lpstr>
      <vt:lpstr>Processor LT adverse</vt:lpstr>
      <vt:lpstr>Processor LT base (sov)</vt:lpstr>
      <vt:lpstr>Processor LT adverse (sov)</vt:lpstr>
      <vt:lpstr>Processor LT base S12</vt:lpstr>
      <vt:lpstr>Processor LT adverse S12</vt:lpstr>
      <vt:lpstr>Processor LT base (sov) S12</vt:lpstr>
      <vt:lpstr>Processor LT adverse (sov) S12</vt:lpstr>
      <vt:lpstr>Lists</vt:lpstr>
    </vt:vector>
  </TitlesOfParts>
  <Company>European Central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Groß, Marco</dc:creator>
  <cp:lastModifiedBy>Branko Sučević</cp:lastModifiedBy>
  <dcterms:created xsi:type="dcterms:W3CDTF">2018-01-18T08:17:39Z</dcterms:created>
  <dcterms:modified xsi:type="dcterms:W3CDTF">2018-05-17T13:51:44Z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{5A818755-AA75-4C60-9E22-519CF939EC4C}</vt:lpwstr>
  </property>
</Properties>
</file>